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6210" windowHeight="2385" tabRatio="790" firstSheet="8" activeTab="18"/>
  </bookViews>
  <sheets>
    <sheet name="床版" sheetId="1" r:id="rId1"/>
    <sheet name="主桁" sheetId="2" r:id="rId2"/>
    <sheet name="補剛材" sheetId="3" r:id="rId3"/>
    <sheet name="外桁継手" sheetId="4" r:id="rId4"/>
    <sheet name="継手中桁" sheetId="5" r:id="rId5"/>
    <sheet name="対傾構" sheetId="6" r:id="rId6"/>
    <sheet name="横桁" sheetId="7" r:id="rId7"/>
    <sheet name="影響線" sheetId="8" r:id="rId8"/>
    <sheet name="対傾構クルス" sheetId="9" r:id="rId9"/>
    <sheet name="たわみ" sheetId="10" r:id="rId10"/>
    <sheet name="製作そり" sheetId="11" r:id="rId11"/>
    <sheet name="材料表" sheetId="12" r:id="rId12"/>
    <sheet name="実鋼重" sheetId="13" r:id="rId13"/>
    <sheet name="主桁斜線" sheetId="14" r:id="rId14"/>
    <sheet name="ms date" sheetId="15" r:id="rId15"/>
    <sheet name="外桁，BMD" sheetId="16" r:id="rId16"/>
    <sheet name="中桁BMD" sheetId="17" r:id="rId17"/>
    <sheet name="外桁.SFD.o" sheetId="18" r:id="rId18"/>
    <sheet name="中桁.SFD.o" sheetId="19" r:id="rId19"/>
  </sheets>
  <definedNames>
    <definedName name="_xlnm.Print_Area" localSheetId="14">'ms date'!$A$1:$J$337</definedName>
    <definedName name="_xlnm.Print_Area" localSheetId="3">'外桁継手'!$A$1:$K$202</definedName>
    <definedName name="_xlnm.Print_Area" localSheetId="4">'継手中桁'!$A:$IV</definedName>
    <definedName name="_xlnm.Print_Area" localSheetId="12">'実鋼重'!$A$1:$J$117</definedName>
    <definedName name="_xlnm.Print_Area" localSheetId="1">'主桁'!$A$1:$K$593</definedName>
    <definedName name="_xlnm.Print_Area" localSheetId="5">'対傾構'!$A$1:$I$172</definedName>
    <definedName name="_xlnm.Print_Area" localSheetId="8">'対傾構クルス'!$A$2:$F$14</definedName>
  </definedNames>
  <calcPr fullCalcOnLoad="1"/>
</workbook>
</file>

<file path=xl/sharedStrings.xml><?xml version="1.0" encoding="utf-8"?>
<sst xmlns="http://schemas.openxmlformats.org/spreadsheetml/2006/main" count="4115" uniqueCount="1540">
  <si>
    <t>上フランジの応力度は</t>
  </si>
  <si>
    <t>kg/cm^2</t>
  </si>
  <si>
    <t>0.75σca</t>
  </si>
  <si>
    <t>であるので、継手の計算は</t>
  </si>
  <si>
    <t>ボルトの配置、腹板の応力度分布は、別ののページに示す。</t>
  </si>
  <si>
    <t>hw:フランジの高さ(cm)</t>
  </si>
  <si>
    <t>cm</t>
  </si>
  <si>
    <t>mm</t>
  </si>
  <si>
    <t>hw/2</t>
  </si>
  <si>
    <t>縦方向:1</t>
  </si>
  <si>
    <t>い</t>
  </si>
  <si>
    <t>cm</t>
  </si>
  <si>
    <t>mm</t>
  </si>
  <si>
    <t>ろ：決め</t>
  </si>
  <si>
    <t>cm</t>
  </si>
  <si>
    <t>mm</t>
  </si>
  <si>
    <t>は</t>
  </si>
  <si>
    <t>考慮式:ほ</t>
  </si>
  <si>
    <t>cm</t>
  </si>
  <si>
    <t>mm</t>
  </si>
  <si>
    <t>に：決め</t>
  </si>
  <si>
    <t>7.5≦に≦15?</t>
  </si>
  <si>
    <t>ほ</t>
  </si>
  <si>
    <t>cm</t>
  </si>
  <si>
    <t>mm</t>
  </si>
  <si>
    <t>全体</t>
  </si>
  <si>
    <t>cm</t>
  </si>
  <si>
    <t>mm</t>
  </si>
  <si>
    <t>比較</t>
  </si>
  <si>
    <t>縦方向:2</t>
  </si>
  <si>
    <t>A</t>
  </si>
  <si>
    <t>B</t>
  </si>
  <si>
    <t>C</t>
  </si>
  <si>
    <t>D</t>
  </si>
  <si>
    <t>長</t>
  </si>
  <si>
    <t>短</t>
  </si>
  <si>
    <t>対傾構鋼重</t>
  </si>
  <si>
    <t xml:space="preserve"> -[</t>
  </si>
  <si>
    <t>設計条件</t>
  </si>
  <si>
    <t>1.形式</t>
  </si>
  <si>
    <t>2.設計活荷重</t>
  </si>
  <si>
    <t>3.床版</t>
  </si>
  <si>
    <t>m</t>
  </si>
  <si>
    <t>片方</t>
  </si>
  <si>
    <t>m</t>
  </si>
  <si>
    <t>m</t>
  </si>
  <si>
    <t>m</t>
  </si>
  <si>
    <t>本</t>
  </si>
  <si>
    <t>8.横桁本数</t>
  </si>
  <si>
    <t>9.主桁間隔</t>
  </si>
  <si>
    <t>L2</t>
  </si>
  <si>
    <t>10.舗装</t>
  </si>
  <si>
    <t>as</t>
  </si>
  <si>
    <t>車道</t>
  </si>
  <si>
    <t>11.使用ｺﾝｸﾘｰﾄ強度</t>
  </si>
  <si>
    <t>12.使用鋼材材質</t>
  </si>
  <si>
    <t>14.設計風荷重</t>
  </si>
  <si>
    <t>設計震度</t>
  </si>
  <si>
    <t>0.3/2</t>
  </si>
  <si>
    <t>地覆</t>
  </si>
  <si>
    <t>L:T荷重に対する床版の支間(m)</t>
  </si>
  <si>
    <t>ni</t>
  </si>
  <si>
    <t>主桁の間の数</t>
  </si>
  <si>
    <t>つ</t>
  </si>
  <si>
    <t>ha</t>
  </si>
  <si>
    <t>Ｌ1</t>
  </si>
  <si>
    <t>ro</t>
  </si>
  <si>
    <t>Ｌ2</t>
  </si>
  <si>
    <t>I</t>
  </si>
  <si>
    <t>仮定</t>
  </si>
  <si>
    <t>mm</t>
  </si>
  <si>
    <t>腹板厚</t>
  </si>
  <si>
    <t>0＜L1≦0.25とL1＞0.25を考慮する</t>
  </si>
  <si>
    <t>連続版、主鉄筋が車両進行方向に対して垂直なので</t>
  </si>
  <si>
    <t>d0=3*L2+11</t>
  </si>
  <si>
    <t>ｃｍ</t>
  </si>
  <si>
    <t>d0とd0が近くなるようにする。</t>
  </si>
  <si>
    <t>ｃｍ</t>
  </si>
  <si>
    <t>とする。</t>
  </si>
  <si>
    <t>k1</t>
  </si>
  <si>
    <t>k2</t>
  </si>
  <si>
    <t>床版の厚さ</t>
  </si>
  <si>
    <t>d=k1*k2*d0</t>
  </si>
  <si>
    <t>2.2　ハンチ高の決定</t>
  </si>
  <si>
    <t>横勾配</t>
  </si>
  <si>
    <t>ピッチの個数4個の人のみ使用</t>
  </si>
  <si>
    <t>中桁のハンチ高を</t>
  </si>
  <si>
    <t>mm</t>
  </si>
  <si>
    <t>とすれば2％横勾配での外桁のハンチ高は</t>
  </si>
  <si>
    <t>-</t>
  </si>
  <si>
    <t>*</t>
  </si>
  <si>
    <t>主鉄筋方向の設計曲げモーメント</t>
  </si>
  <si>
    <t>死荷重強度の計算</t>
  </si>
  <si>
    <t>A断面（片持ち部）、B（支間部）、C（支点部）</t>
  </si>
  <si>
    <t>の3断面について行う。</t>
  </si>
  <si>
    <t>A断面</t>
  </si>
  <si>
    <t>アスファルト舗装（アスファルト舗装単位体積重量 2.3t/m^3)</t>
  </si>
  <si>
    <t>m</t>
  </si>
  <si>
    <t>*</t>
  </si>
  <si>
    <t>=</t>
  </si>
  <si>
    <t>t/m</t>
  </si>
  <si>
    <t>床版　(舗装コンクリート単位体積重量　2.5t/m^3)</t>
  </si>
  <si>
    <t>t/m</t>
  </si>
  <si>
    <t>W=</t>
  </si>
  <si>
    <t>ハンチ</t>
  </si>
  <si>
    <t>t/m^3</t>
  </si>
  <si>
    <t>高欄</t>
  </si>
  <si>
    <t>仮定</t>
  </si>
  <si>
    <t>=</t>
  </si>
  <si>
    <t>t/m</t>
  </si>
  <si>
    <t>地覆</t>
  </si>
  <si>
    <t>*</t>
  </si>
  <si>
    <t>t/m^3</t>
  </si>
  <si>
    <t>=</t>
  </si>
  <si>
    <t>t/m</t>
  </si>
  <si>
    <t>B断面</t>
  </si>
  <si>
    <t>アスファルト舗装と床版</t>
  </si>
  <si>
    <t>W=</t>
  </si>
  <si>
    <t>曲げモーメントの算出</t>
  </si>
  <si>
    <t>死荷重曲げモーメント（等分布荷重）</t>
  </si>
  <si>
    <t>舗装床版</t>
  </si>
  <si>
    <t>L</t>
  </si>
  <si>
    <t xml:space="preserve"> -wL^2/2</t>
  </si>
  <si>
    <t>tm/m</t>
  </si>
  <si>
    <t>ハンチ</t>
  </si>
  <si>
    <t>/</t>
  </si>
  <si>
    <t>(A点から三角形図心までの距離)</t>
  </si>
  <si>
    <t>高欄</t>
  </si>
  <si>
    <t>*</t>
  </si>
  <si>
    <t>=</t>
  </si>
  <si>
    <t>tm/m</t>
  </si>
  <si>
    <t>tm/m</t>
  </si>
  <si>
    <t>Md=</t>
  </si>
  <si>
    <t>活荷重曲げモーメント</t>
  </si>
  <si>
    <t>Ml=-PL/(1.30L+0.25)</t>
  </si>
  <si>
    <t>P:輪荷重</t>
  </si>
  <si>
    <t>t</t>
  </si>
  <si>
    <t>L1=</t>
  </si>
  <si>
    <t>m</t>
  </si>
  <si>
    <t>Ml=</t>
  </si>
  <si>
    <t>tm/m</t>
  </si>
  <si>
    <t>高欄推力曲げモーメント</t>
  </si>
  <si>
    <t>Mh=</t>
  </si>
  <si>
    <t>(</t>
  </si>
  <si>
    <t>+</t>
  </si>
  <si>
    <t>/</t>
  </si>
  <si>
    <t>)</t>
  </si>
  <si>
    <t>Ma=Md+Ml+Mh</t>
  </si>
  <si>
    <t>Ma=</t>
  </si>
  <si>
    <t>tm/m</t>
  </si>
  <si>
    <t>B断面（支間部）</t>
  </si>
  <si>
    <t>W</t>
  </si>
  <si>
    <t>L2</t>
  </si>
  <si>
    <t>Md=W*L/10</t>
  </si>
  <si>
    <t>Md=</t>
  </si>
  <si>
    <t>Ml=(0.12L+0.07)*P*0.8</t>
  </si>
  <si>
    <t>P:輪荷重</t>
  </si>
  <si>
    <t>L=</t>
  </si>
  <si>
    <t>ここに、αは、道示６．１．４の表．６の割り増し係数で</t>
  </si>
  <si>
    <t>α</t>
  </si>
  <si>
    <t>=</t>
  </si>
  <si>
    <t>Ml=</t>
  </si>
  <si>
    <t>tm/m</t>
  </si>
  <si>
    <t>幅</t>
  </si>
  <si>
    <t>厚さ</t>
  </si>
  <si>
    <t>合計曲げモーメント</t>
  </si>
  <si>
    <t>Mb=Md+Ml</t>
  </si>
  <si>
    <t>Mb=</t>
  </si>
  <si>
    <t>C断面（支点部）</t>
  </si>
  <si>
    <t>死荷重曲げモーメント</t>
  </si>
  <si>
    <t>w</t>
  </si>
  <si>
    <t>Md</t>
  </si>
  <si>
    <t>Ml=-(0.12*L+0.07)*P*0.8</t>
  </si>
  <si>
    <t>Ml</t>
  </si>
  <si>
    <t>割り増し係数をかけ</t>
  </si>
  <si>
    <t>Ml</t>
  </si>
  <si>
    <t>tm/m</t>
  </si>
  <si>
    <t>合計曲げモーメント</t>
  </si>
  <si>
    <t>Mc=Md+Ml</t>
  </si>
  <si>
    <t>Mc=</t>
  </si>
  <si>
    <t>以上より</t>
  </si>
  <si>
    <t>Ma</t>
  </si>
  <si>
    <t>tm/m</t>
  </si>
  <si>
    <t>Mb</t>
  </si>
  <si>
    <t>Mc</t>
  </si>
  <si>
    <t>設計曲げモーメント</t>
  </si>
  <si>
    <t>Mc=</t>
  </si>
  <si>
    <t>tm/m</t>
  </si>
  <si>
    <t>ピッチ</t>
  </si>
  <si>
    <t>P</t>
  </si>
  <si>
    <t>とすると橋軸方向1m(b=100cm)あたり引張鉄筋量Asは</t>
  </si>
  <si>
    <t>b</t>
  </si>
  <si>
    <t>As=</t>
  </si>
  <si>
    <t>*</t>
  </si>
  <si>
    <t>/</t>
  </si>
  <si>
    <t>m^2</t>
  </si>
  <si>
    <t>また圧縮側鉄筋量As'は</t>
  </si>
  <si>
    <t>As'</t>
  </si>
  <si>
    <t>m^2</t>
  </si>
  <si>
    <t>m</t>
  </si>
  <si>
    <t>道示で決まってる</t>
  </si>
  <si>
    <t>床版厚</t>
  </si>
  <si>
    <t>かぶりd'</t>
  </si>
  <si>
    <t>ｄ＝（有効高さ)</t>
  </si>
  <si>
    <t>n=</t>
  </si>
  <si>
    <t>x=-n/b*(As+As')+√（（n/b*(As+As'))^2+2*n/b*(d*As+d'As'))</t>
  </si>
  <si>
    <t>Kc=b*x/2*(d-x/3)+n/2*As*x-d'/x*(d-d')</t>
  </si>
  <si>
    <t>cm^3</t>
  </si>
  <si>
    <t>Ks=Kc/n*x/(d-x)</t>
  </si>
  <si>
    <t>鉄筋の引張応力度（床版の下縁側）</t>
  </si>
  <si>
    <t>σs=M/Ks</t>
  </si>
  <si>
    <t>kgf/cm^2</t>
  </si>
  <si>
    <t>コンクリートの圧縮応力度（床版伸した縁側）</t>
  </si>
  <si>
    <t>σc=M/Kc</t>
  </si>
  <si>
    <t>kgf/cm^2</t>
  </si>
  <si>
    <t>配力鉄筋方向の設計曲げモーメント</t>
  </si>
  <si>
    <t>曲げモーメントの算出</t>
  </si>
  <si>
    <t>活荷重曲げモーメント</t>
  </si>
  <si>
    <t>片もち部</t>
  </si>
  <si>
    <t>L</t>
  </si>
  <si>
    <t>m</t>
  </si>
  <si>
    <t>P</t>
  </si>
  <si>
    <t>t</t>
  </si>
  <si>
    <t>Ml=(0.15+0.13)*P</t>
  </si>
  <si>
    <t>tm/m</t>
  </si>
  <si>
    <t>L</t>
  </si>
  <si>
    <t>m</t>
  </si>
  <si>
    <t>P</t>
  </si>
  <si>
    <t>t</t>
  </si>
  <si>
    <t>Ml=(0.1*L+0.04)*P*0.8</t>
  </si>
  <si>
    <t>tm/m</t>
  </si>
  <si>
    <t>tm/m</t>
  </si>
  <si>
    <t>で設計し他部はこれと同じ配筋とする。</t>
  </si>
  <si>
    <t>応力度の算定</t>
  </si>
  <si>
    <t>設計曲げモーメント</t>
  </si>
  <si>
    <t>D</t>
  </si>
  <si>
    <t>公称断面積</t>
  </si>
  <si>
    <t>ｃｍ</t>
  </si>
  <si>
    <t>ピッチ</t>
  </si>
  <si>
    <t>P'</t>
  </si>
  <si>
    <t>b</t>
  </si>
  <si>
    <t>D</t>
  </si>
  <si>
    <t>b'</t>
  </si>
  <si>
    <t>d1</t>
  </si>
  <si>
    <t>だと橋軸方向1m(b=100cm)当たりの引張鉄筋量Asは</t>
  </si>
  <si>
    <t>As</t>
  </si>
  <si>
    <t>cm^2</t>
  </si>
  <si>
    <t>又、圧縮鉄筋量As'は</t>
  </si>
  <si>
    <t>As'=As/2</t>
  </si>
  <si>
    <t>cm^2</t>
  </si>
  <si>
    <t>D</t>
  </si>
  <si>
    <t>かぶり</t>
  </si>
  <si>
    <t>d'=</t>
  </si>
  <si>
    <t>+</t>
  </si>
  <si>
    <t>/</t>
  </si>
  <si>
    <t>d=D-d'</t>
  </si>
  <si>
    <t>n</t>
  </si>
  <si>
    <t>w=(6.56*L+34.4)*10^-3*A3</t>
  </si>
  <si>
    <t>フランジ</t>
  </si>
  <si>
    <t>断面１</t>
  </si>
  <si>
    <t>断面2</t>
  </si>
  <si>
    <t>断面3</t>
  </si>
  <si>
    <t>3to2</t>
  </si>
  <si>
    <t>2to1</t>
  </si>
  <si>
    <t>x=n/b*(As+As')+√((n/b*(As+As'))^2+2*n/b*(d*As+d'*As'))</t>
  </si>
  <si>
    <t>Kc=b*x/2*(d-x/3)+n/2*As*(x-d')/x*(d-d')</t>
  </si>
  <si>
    <t>cm^3</t>
  </si>
  <si>
    <t>Ks=Kc/n*x/(d-x)</t>
  </si>
  <si>
    <t>鉄筋の応力度</t>
  </si>
  <si>
    <t>kg/cm^2</t>
  </si>
  <si>
    <t>コンクリート応力度</t>
  </si>
  <si>
    <t>σc=M/Kc</t>
  </si>
  <si>
    <t>kg/cm^2</t>
  </si>
  <si>
    <t>kgf/cm^2</t>
  </si>
  <si>
    <t>断面力の算定</t>
  </si>
  <si>
    <t>荷重強度の計算</t>
  </si>
  <si>
    <t>１．外桁</t>
  </si>
  <si>
    <t>死荷重</t>
  </si>
  <si>
    <t xml:space="preserve">アスファルト舗装単位体積重量 </t>
  </si>
  <si>
    <t>鉄筋コンクリート単位体積重量</t>
  </si>
  <si>
    <t>t/m^3</t>
  </si>
  <si>
    <t>舗装</t>
  </si>
  <si>
    <t>床版</t>
  </si>
  <si>
    <t>*</t>
  </si>
  <si>
    <t>t/m</t>
  </si>
  <si>
    <t>ハンチ</t>
  </si>
  <si>
    <t>地覆</t>
  </si>
  <si>
    <t>高欄</t>
  </si>
  <si>
    <t>支間</t>
  </si>
  <si>
    <t>A1</t>
  </si>
  <si>
    <t>A2</t>
  </si>
  <si>
    <t>A3</t>
  </si>
  <si>
    <t>鋼桁自重</t>
  </si>
  <si>
    <t>w=(6.56*L+34.4)*10^-3*A2</t>
  </si>
  <si>
    <t>t/m</t>
  </si>
  <si>
    <t>Wd1</t>
  </si>
  <si>
    <t>注：外桁ハンチについてabcは近似的に三角形とみなす</t>
  </si>
  <si>
    <t>活荷重</t>
  </si>
  <si>
    <t>曲げモーメント算出時</t>
  </si>
  <si>
    <t>A2</t>
  </si>
  <si>
    <t>P1</t>
  </si>
  <si>
    <t>t/m^2</t>
  </si>
  <si>
    <t>*</t>
  </si>
  <si>
    <t>=</t>
  </si>
  <si>
    <t>t/m</t>
  </si>
  <si>
    <t>せん断力算出時</t>
  </si>
  <si>
    <t>P1</t>
  </si>
  <si>
    <t>t/m^2</t>
  </si>
  <si>
    <t>=</t>
  </si>
  <si>
    <t>t/m</t>
  </si>
  <si>
    <t>P2</t>
  </si>
  <si>
    <t>衝撃係数</t>
  </si>
  <si>
    <t>I=20/(50+L)</t>
  </si>
  <si>
    <t>2.中桁</t>
  </si>
  <si>
    <t>死荷重</t>
  </si>
  <si>
    <t>L</t>
  </si>
  <si>
    <t>m</t>
  </si>
  <si>
    <t>A1</t>
  </si>
  <si>
    <t>A2</t>
  </si>
  <si>
    <t>A3</t>
  </si>
  <si>
    <t>鋼桁自重</t>
  </si>
  <si>
    <t>Wd2</t>
  </si>
  <si>
    <t>活荷重</t>
  </si>
  <si>
    <t>等分布荷重</t>
  </si>
  <si>
    <t>A3</t>
  </si>
  <si>
    <t>せん断力算出時</t>
  </si>
  <si>
    <t>曲げモーメントの計算</t>
  </si>
  <si>
    <t>モーメントは，別紙の図に示すように断面変化の位置を決める。</t>
  </si>
  <si>
    <t>ここでは、1つOKならばよくだめなら合成の式へ行く。</t>
  </si>
  <si>
    <t>曲げモーメントの一般式について</t>
  </si>
  <si>
    <t>活荷重（等分布荷重P2)</t>
  </si>
  <si>
    <t>Mx=Rax-wx*x/2</t>
  </si>
  <si>
    <t>Mx=wl^2(x/l(x/l(1-x/l))</t>
  </si>
  <si>
    <t>(P1は移動し影響線を用いて着目点xが最大の曲げﾓｰﾒﾝﾄとなるように載荷）</t>
  </si>
  <si>
    <t>死荷重（外桁の死荷重強度Wd1)</t>
  </si>
  <si>
    <t>死荷重（中桁の死荷重強度Wd2)</t>
  </si>
  <si>
    <t>Wd1=</t>
  </si>
  <si>
    <t>Md1=Wl^2/2*{x/l*(1-x/l)}</t>
  </si>
  <si>
    <t>l</t>
  </si>
  <si>
    <t>x</t>
  </si>
  <si>
    <t>活荷重</t>
  </si>
  <si>
    <t>等分布荷重P2</t>
  </si>
  <si>
    <t>P2=</t>
  </si>
  <si>
    <t>Md1=Wl^2/2*{x/l*(1-x/l)}</t>
  </si>
  <si>
    <t>l</t>
  </si>
  <si>
    <t>x</t>
  </si>
  <si>
    <t>Mp2</t>
  </si>
  <si>
    <t>t*m</t>
  </si>
  <si>
    <t>等分布荷重P1</t>
  </si>
  <si>
    <t>P1=</t>
  </si>
  <si>
    <t>断面3のとき</t>
  </si>
  <si>
    <t>x</t>
  </si>
  <si>
    <t>m</t>
  </si>
  <si>
    <t>b</t>
  </si>
  <si>
    <t>固定されてる！</t>
  </si>
  <si>
    <t>m</t>
  </si>
  <si>
    <t>l</t>
  </si>
  <si>
    <t>a=x*(1-β)=x*(1-b/l)</t>
  </si>
  <si>
    <t>β=b/l</t>
  </si>
  <si>
    <t>c=l-a-b</t>
  </si>
  <si>
    <t>Mp1max=P1*β/2*(b+2*C)*x-P1/2*(x-a)^2</t>
  </si>
  <si>
    <t>t*m</t>
  </si>
  <si>
    <t>P1=</t>
  </si>
  <si>
    <t>断面2のとき</t>
  </si>
  <si>
    <t>断面1のとき</t>
  </si>
  <si>
    <t>活荷重による衝撃</t>
  </si>
  <si>
    <t>Mi=(Mp1+Mp2)*i</t>
  </si>
  <si>
    <t>i=</t>
  </si>
  <si>
    <t>Mi=(Mp1+Mp2)*i</t>
  </si>
  <si>
    <t>Mi</t>
  </si>
  <si>
    <t>以上算出された曲げモーメントを下表に示す。</t>
  </si>
  <si>
    <t>活荷重（ｔｍ）</t>
  </si>
  <si>
    <t>各点</t>
  </si>
  <si>
    <t>等分布荷重Ｐ1</t>
  </si>
  <si>
    <t>等分布荷重Ｐ2</t>
  </si>
  <si>
    <t>衝撃</t>
  </si>
  <si>
    <t>モーメント（ｔｍ）</t>
  </si>
  <si>
    <t>外桁</t>
  </si>
  <si>
    <t>中桁</t>
  </si>
  <si>
    <t>せん断力の計算</t>
  </si>
  <si>
    <t>せん断力を求める点はモーメントと同じ位置と支点で求める。</t>
  </si>
  <si>
    <t>せん断力の一般式</t>
  </si>
  <si>
    <t>a)死荷重</t>
  </si>
  <si>
    <t>Sx=w*l/2-w*x</t>
  </si>
  <si>
    <t>b)活荷重</t>
  </si>
  <si>
    <t>活荷重の等分布荷重は移動し影響線を用いて着目点が最大になるように載荷</t>
  </si>
  <si>
    <t>1.等分布荷重Ｐ2</t>
  </si>
  <si>
    <t>Sx=P2A=P*(1-x/l)^2/2</t>
  </si>
  <si>
    <t>2.等分布荷重Ｐ1</t>
  </si>
  <si>
    <t>上側第4列</t>
  </si>
  <si>
    <t>ρp4=P4/n4</t>
  </si>
  <si>
    <t>cm</t>
  </si>
  <si>
    <t>Sx=P1A'=P1*b*(l-x-b/2)/l</t>
  </si>
  <si>
    <t>1外桁</t>
  </si>
  <si>
    <t>1中桁</t>
  </si>
  <si>
    <t>死荷重</t>
  </si>
  <si>
    <t>wd1=</t>
  </si>
  <si>
    <t>wl*(1/2-x/l)</t>
  </si>
  <si>
    <t>t</t>
  </si>
  <si>
    <t>Sd1</t>
  </si>
  <si>
    <t>活荷重</t>
  </si>
  <si>
    <t>1.等分布荷重</t>
  </si>
  <si>
    <t>l</t>
  </si>
  <si>
    <t>m</t>
  </si>
  <si>
    <t>x</t>
  </si>
  <si>
    <t>P2</t>
  </si>
  <si>
    <t>Sp2(支点）=P2*l/2(1-x/l)^2</t>
  </si>
  <si>
    <t>Sp2</t>
  </si>
  <si>
    <t>2)等分布荷重</t>
  </si>
  <si>
    <t>b</t>
  </si>
  <si>
    <t>P1</t>
  </si>
  <si>
    <t>Sp1(支点）=P1*b*(l-x-b/2)/l</t>
  </si>
  <si>
    <t>Sp1</t>
  </si>
  <si>
    <t>外桁</t>
  </si>
  <si>
    <t>Si=(Sp1+Sp2)*i</t>
  </si>
  <si>
    <t>衝撃係数</t>
  </si>
  <si>
    <t>Si</t>
  </si>
  <si>
    <t>Si=(Sp1+Sp2)*i</t>
  </si>
  <si>
    <t>以上算出されたせん断力を下表に示す。</t>
  </si>
  <si>
    <t>活荷重（ｔ）</t>
  </si>
  <si>
    <t>合計（死+活）</t>
  </si>
  <si>
    <t>せん断力（ｔ）</t>
  </si>
  <si>
    <t>外桁</t>
  </si>
  <si>
    <t>中桁</t>
  </si>
  <si>
    <t>フランジの換算断面積</t>
  </si>
  <si>
    <t>断面1支点から</t>
  </si>
  <si>
    <t>M:作用曲げモーメント(kg*cm)</t>
  </si>
  <si>
    <t>tm</t>
  </si>
  <si>
    <t>σca:許容曲げ圧縮応力度(kg/cm^2)</t>
  </si>
  <si>
    <t>hw:腹板高(cm)</t>
  </si>
  <si>
    <t>cm</t>
  </si>
  <si>
    <t>用いる値</t>
  </si>
  <si>
    <t>ｃｍ</t>
  </si>
  <si>
    <t>tw:腹板の板厚(cm)</t>
  </si>
  <si>
    <t>Ac:圧縮側フランジ面積(cm^2)</t>
  </si>
  <si>
    <t>At:引張側フランジ面積(cm^2)</t>
  </si>
  <si>
    <t>上下フランジの換算断面積</t>
  </si>
  <si>
    <t>Ac=At=M/(σca*hw)-(hw*tw)/6</t>
  </si>
  <si>
    <t>断面二次モーメント(cm^4)</t>
  </si>
  <si>
    <t>I</t>
  </si>
  <si>
    <t>中立軸から上縁、下縁までの距離</t>
  </si>
  <si>
    <t>yt=yc=</t>
  </si>
  <si>
    <t>cm</t>
  </si>
  <si>
    <t>断面係数Wc=Wt=I/yc</t>
  </si>
  <si>
    <t>曲げ応力度</t>
  </si>
  <si>
    <t>σc=σt=M/Wc</t>
  </si>
  <si>
    <t>抵抗曲げモーメント</t>
  </si>
  <si>
    <t>Mr=σca*Wc=σWt=</t>
  </si>
  <si>
    <t>kg*cm</t>
  </si>
  <si>
    <t>t*m</t>
  </si>
  <si>
    <t>断面2支点から</t>
  </si>
  <si>
    <t>断面3支点から</t>
  </si>
  <si>
    <t>ｍ</t>
  </si>
  <si>
    <t>１．中桁</t>
  </si>
  <si>
    <t>断面1支点から</t>
  </si>
  <si>
    <t>合成応力度の照査</t>
  </si>
  <si>
    <t>Aw:腹板断面積</t>
  </si>
  <si>
    <t>cm^2</t>
  </si>
  <si>
    <t>τa:許容せん断応力度</t>
  </si>
  <si>
    <t>1.外桁</t>
  </si>
  <si>
    <t>a 断面</t>
  </si>
  <si>
    <t>τb:せん断応力度</t>
  </si>
  <si>
    <t>S:せん断力</t>
  </si>
  <si>
    <t>kg</t>
  </si>
  <si>
    <t>τb=S/Aw</t>
  </si>
  <si>
    <t>b 断面</t>
  </si>
  <si>
    <t>σb:フランジ曲げ応力度</t>
  </si>
  <si>
    <t>1400*0.45</t>
  </si>
  <si>
    <t>c 断面</t>
  </si>
  <si>
    <t>Aw:腹板断面積</t>
  </si>
  <si>
    <t>1.1中桁</t>
  </si>
  <si>
    <t>a 断面</t>
  </si>
  <si>
    <t>仮定鋼重と実鋼重の比較</t>
  </si>
  <si>
    <t>仮定鋼重</t>
  </si>
  <si>
    <t>6.56*ｌ*34.4</t>
  </si>
  <si>
    <t>kg/m^2</t>
  </si>
  <si>
    <t>実鋼重</t>
  </si>
  <si>
    <t>7850(kg/m^3)*r*体積/(橋長(m)*幅員(m))</t>
  </si>
  <si>
    <t>r=1.35～1.45</t>
  </si>
  <si>
    <t>外桁フランジ</t>
  </si>
  <si>
    <t>断面3</t>
  </si>
  <si>
    <t>断面2</t>
  </si>
  <si>
    <t>断面1</t>
  </si>
  <si>
    <t>支点からの距離(m)</t>
  </si>
  <si>
    <t>距離(m)</t>
  </si>
  <si>
    <t>全体積（外桁）</t>
  </si>
  <si>
    <t>左右対称なので体積は2倍</t>
  </si>
  <si>
    <t>体積(m^3)</t>
  </si>
  <si>
    <t>中桁フランジ</t>
  </si>
  <si>
    <t>断面3</t>
  </si>
  <si>
    <t>断面2</t>
  </si>
  <si>
    <t>断面1</t>
  </si>
  <si>
    <t>支点からの距離(m)</t>
  </si>
  <si>
    <t>全体積（中桁）</t>
  </si>
  <si>
    <t>全体積</t>
  </si>
  <si>
    <t>m^3</t>
  </si>
  <si>
    <t>r</t>
  </si>
  <si>
    <t>kg/m^3</t>
  </si>
  <si>
    <t>支間</t>
  </si>
  <si>
    <t>橋長</t>
  </si>
  <si>
    <t>幅員</t>
  </si>
  <si>
    <t>仮定鋼重</t>
  </si>
  <si>
    <t>kg/m^2</t>
  </si>
  <si>
    <t>（実鋼重-仮定鋼重）/実鋼重*100</t>
  </si>
  <si>
    <t>（）は絶対値</t>
  </si>
  <si>
    <t>%</t>
  </si>
  <si>
    <t>フランジと腹板のすみ肉溶接の検討</t>
  </si>
  <si>
    <t>フランジと腹板のすみ肉サイズは次式を満足しなければならない。</t>
  </si>
  <si>
    <t>t1&gt;S≧√(2*t2)</t>
  </si>
  <si>
    <t>S:サイズ(mm) (=6mm以上)</t>
  </si>
  <si>
    <t>t1:薄いほうの母材の厚さ</t>
  </si>
  <si>
    <t>t2:厚いほうの母材の厚さ</t>
  </si>
  <si>
    <t>使用フランジ板厚の最大寸法</t>
  </si>
  <si>
    <t>（中桁断面1）</t>
  </si>
  <si>
    <t>腹板の板厚10mmで必要すみ肉サイズは</t>
  </si>
  <si>
    <t>よって使用する肉サイズ</t>
  </si>
  <si>
    <t>S=</t>
  </si>
  <si>
    <t>Ag1</t>
  </si>
  <si>
    <t>Ag2</t>
  </si>
  <si>
    <t>ピッチの個数</t>
  </si>
  <si>
    <t>a=L1/3</t>
  </si>
  <si>
    <t>L1</t>
  </si>
  <si>
    <t>曲げ応力度σ=0</t>
  </si>
  <si>
    <t>すみ肉部の応力の検討</t>
  </si>
  <si>
    <t>溶接部の応力についてはせん断力の大きい</t>
  </si>
  <si>
    <t>桁の支点部</t>
  </si>
  <si>
    <t>（断面3）</t>
  </si>
  <si>
    <t>10～20以上ならOK</t>
  </si>
  <si>
    <t>10～20以上になるように横桁を決める。過去の実橋例から腹板高を主桁の</t>
  </si>
  <si>
    <t>で次式によって検討する。</t>
  </si>
  <si>
    <t>τa</t>
  </si>
  <si>
    <t>τ=SQ/I*(1/∑a）</t>
  </si>
  <si>
    <t>S:せん断力(kg)</t>
  </si>
  <si>
    <t>I:断面二次モーメント(cm^4)</t>
  </si>
  <si>
    <t>Q:溶接部より上部断面の中立軸に</t>
  </si>
  <si>
    <t>関する断面一次モーメント</t>
  </si>
  <si>
    <t>∑a:のど厚の合計(cm)</t>
  </si>
  <si>
    <t>桁の支点部</t>
  </si>
  <si>
    <t>t1:腹板厚</t>
  </si>
  <si>
    <t>t2:フランジ板厚</t>
  </si>
  <si>
    <t>支間/6</t>
  </si>
  <si>
    <t>4.橋長</t>
  </si>
  <si>
    <t>増やした厚さ</t>
  </si>
  <si>
    <t>溝の幅</t>
  </si>
  <si>
    <t>6.主桁高</t>
  </si>
  <si>
    <t>7.主桁本数</t>
  </si>
  <si>
    <t>a：高欄を乗せる床の幅</t>
  </si>
  <si>
    <t>2.床版の設計</t>
  </si>
  <si>
    <t>最小フランジ幅/2-腹板幅/2</t>
  </si>
  <si>
    <t>上フランジ</t>
  </si>
  <si>
    <t>車道部分の床版の最小全厚(cm)</t>
  </si>
  <si>
    <t>床版の最小厚さ</t>
  </si>
  <si>
    <t>A断面（片もち部）</t>
  </si>
  <si>
    <t>舗装、床版</t>
  </si>
  <si>
    <t>よってモーメントの大きい断面について設計</t>
  </si>
  <si>
    <t>使用鉄筋D19（公称断面積）</t>
  </si>
  <si>
    <t>連続部</t>
  </si>
  <si>
    <t>従ってモーメントの大きい</t>
  </si>
  <si>
    <t>配力鉄筋の使用径は主鉄筋より1段下の鉄筋径</t>
  </si>
  <si>
    <t>u縁：規定</t>
  </si>
  <si>
    <t>E</t>
  </si>
  <si>
    <t>F</t>
  </si>
  <si>
    <t>G</t>
  </si>
  <si>
    <t>H</t>
  </si>
  <si>
    <t>I</t>
  </si>
  <si>
    <t>syuutaishou!!</t>
  </si>
  <si>
    <t>横方向:1</t>
  </si>
  <si>
    <t>cm</t>
  </si>
  <si>
    <t>mm</t>
  </si>
  <si>
    <t>2:kime</t>
  </si>
  <si>
    <t>本数</t>
  </si>
  <si>
    <t>cm</t>
  </si>
  <si>
    <t>mm</t>
  </si>
  <si>
    <t>?</t>
  </si>
  <si>
    <t>横方向:2</t>
  </si>
  <si>
    <t>dai</t>
  </si>
  <si>
    <t>shou</t>
  </si>
  <si>
    <t>い</t>
  </si>
  <si>
    <t>A</t>
  </si>
  <si>
    <t>B</t>
  </si>
  <si>
    <t>は</t>
  </si>
  <si>
    <t>C</t>
  </si>
  <si>
    <t>に</t>
  </si>
  <si>
    <t>D</t>
  </si>
  <si>
    <t>ほ</t>
  </si>
  <si>
    <t>E</t>
  </si>
  <si>
    <t>ボルトに作用する力の計算</t>
  </si>
  <si>
    <t>ρa=2*4800kg/本(Ｍ22Ｆ10Ｔ　二面摩擦）</t>
  </si>
  <si>
    <t>ρa</t>
  </si>
  <si>
    <t>kg/本</t>
  </si>
  <si>
    <t>上側第1列</t>
  </si>
  <si>
    <t>ρp1=P1/n1</t>
  </si>
  <si>
    <t>上側第2列</t>
  </si>
  <si>
    <t>ρp2=P2/n2</t>
  </si>
  <si>
    <t>上側第3列</t>
  </si>
  <si>
    <t>ρp3=P3/n3</t>
  </si>
  <si>
    <t>他の列もOKとなることが明らかなので省略する。</t>
  </si>
  <si>
    <t>せん断力によるボルト作用力</t>
  </si>
  <si>
    <t>ρs=S/n</t>
  </si>
  <si>
    <t>曲げモーメントとせん断力が同時に働くので合成した力に対して照査する。</t>
  </si>
  <si>
    <t>ρ=√(ρp^2+ρs^2)</t>
  </si>
  <si>
    <t>間にある個数</t>
  </si>
  <si>
    <t>tu??</t>
  </si>
  <si>
    <t>あ</t>
  </si>
  <si>
    <t>a</t>
  </si>
  <si>
    <t>添接板の計算</t>
  </si>
  <si>
    <t>主桁断面の中立軸に対する腹板のみの断面二次モーメント</t>
  </si>
  <si>
    <t>Iw</t>
  </si>
  <si>
    <t>+</t>
  </si>
  <si>
    <t>)</t>
  </si>
  <si>
    <t>/</t>
  </si>
  <si>
    <t xml:space="preserve"> +(</t>
  </si>
  <si>
    <t>ab=</t>
  </si>
  <si>
    <t>abcd=(</t>
  </si>
  <si>
    <t>m^2</t>
  </si>
  <si>
    <t>注：中桁ハンチについて上フランジ幅を</t>
  </si>
  <si>
    <t>mmと仮定すればab,cdの勾配が１：３より</t>
  </si>
  <si>
    <t>Δabc=0.5</t>
  </si>
  <si>
    <t>腹板の抵抗モーメント</t>
  </si>
  <si>
    <t>Mw=MrIw/I</t>
  </si>
  <si>
    <t>添接板</t>
  </si>
  <si>
    <t>σ</t>
  </si>
  <si>
    <t>τ</t>
  </si>
  <si>
    <t>（τ=600,σ=0：座屈に対する照査はせん断力の大きい外桁位置で行う）</t>
  </si>
  <si>
    <t>ｈｗに使用するMmax</t>
  </si>
  <si>
    <t>決めるときに参考とするhw</t>
  </si>
  <si>
    <t>cm以上のhwにする。</t>
  </si>
  <si>
    <t>σa</t>
  </si>
  <si>
    <t>以上より</t>
  </si>
  <si>
    <t>補剛材の板幅</t>
  </si>
  <si>
    <t>hw/30+50</t>
  </si>
  <si>
    <t>補剛材の板厚</t>
  </si>
  <si>
    <t>使用幅/13</t>
  </si>
  <si>
    <t>従って使用寸法</t>
  </si>
  <si>
    <t>必要断面二次モーメント</t>
  </si>
  <si>
    <t>Ireq=hw*tw^3/11*8(hw/a)^2</t>
  </si>
  <si>
    <t>腹板断面二次モーメント（t軸に関する）</t>
  </si>
  <si>
    <t>mm以上で使用板幅</t>
  </si>
  <si>
    <t>mmとする。</t>
  </si>
  <si>
    <t>mm以上で使用板厚</t>
  </si>
  <si>
    <t>1-PL</t>
  </si>
  <si>
    <t>とする</t>
  </si>
  <si>
    <t>A(cm^2)</t>
  </si>
  <si>
    <t>Ay^2(cm4)</t>
  </si>
  <si>
    <t>b*h^3/12</t>
  </si>
  <si>
    <t>It</t>
  </si>
  <si>
    <t>It=</t>
  </si>
  <si>
    <t>Ireq=</t>
  </si>
  <si>
    <t>横構の設計</t>
  </si>
  <si>
    <t>横荷重の計算</t>
  </si>
  <si>
    <t>横構に作用する外力は風荷重と地震荷重の大きい方を考える。</t>
  </si>
  <si>
    <t>風荷重</t>
  </si>
  <si>
    <t>1/sinθ</t>
  </si>
  <si>
    <t>sinθ</t>
  </si>
  <si>
    <t>X</t>
  </si>
  <si>
    <t>x</t>
  </si>
  <si>
    <t>Y</t>
  </si>
  <si>
    <t>y</t>
  </si>
  <si>
    <t>高さ</t>
  </si>
  <si>
    <t>小</t>
  </si>
  <si>
    <t>大</t>
  </si>
  <si>
    <t>面積</t>
  </si>
  <si>
    <t>A1</t>
  </si>
  <si>
    <t>A2</t>
  </si>
  <si>
    <t>A3</t>
  </si>
  <si>
    <t>高さD2</t>
  </si>
  <si>
    <t>横D3</t>
  </si>
  <si>
    <t>高さD3</t>
  </si>
  <si>
    <t>底辺</t>
  </si>
  <si>
    <t>D1</t>
  </si>
  <si>
    <t>m^2</t>
  </si>
  <si>
    <t>面積:A</t>
  </si>
  <si>
    <t>D2</t>
  </si>
  <si>
    <t>まとめる</t>
  </si>
  <si>
    <t>A3</t>
  </si>
  <si>
    <t>D3=wA3</t>
  </si>
  <si>
    <t>床版で1/2を負担し、残り1/2を横構で負担するから1組が受け持つ力は1/4となる。</t>
  </si>
  <si>
    <t>Pw=w/4α</t>
  </si>
  <si>
    <t>w:風荷重</t>
  </si>
  <si>
    <t>地震荷重</t>
  </si>
  <si>
    <t>Pe=wd*kh/4α</t>
  </si>
  <si>
    <t>wd:地震荷重</t>
  </si>
  <si>
    <t>したがって</t>
  </si>
  <si>
    <t>のほうが大きいので大きい方で設計する。</t>
  </si>
  <si>
    <t>kh</t>
  </si>
  <si>
    <t>kg/m</t>
  </si>
  <si>
    <t>各部材力の計算</t>
  </si>
  <si>
    <t>圧縮材として</t>
  </si>
  <si>
    <t>D1=wA1</t>
  </si>
  <si>
    <t>Acの部材長</t>
  </si>
  <si>
    <t>Ac</t>
  </si>
  <si>
    <t>応力の計算</t>
  </si>
  <si>
    <t>使用断面</t>
  </si>
  <si>
    <t>細長比l/r min</t>
  </si>
  <si>
    <t>Ag:断面積</t>
  </si>
  <si>
    <t>rx</t>
  </si>
  <si>
    <t>r min</t>
  </si>
  <si>
    <t>1-L</t>
  </si>
  <si>
    <t>二次部材圧縮</t>
  </si>
  <si>
    <t>軸応力度σc=D1/Ag</t>
  </si>
  <si>
    <t>また別紙の図に示すような場合の引張材を考える。</t>
  </si>
  <si>
    <t>純断面積</t>
  </si>
  <si>
    <t>An=Ag-Ag/4-1.2(2.2+0.3)</t>
  </si>
  <si>
    <t>応力度</t>
  </si>
  <si>
    <t>σt=D1/An</t>
  </si>
  <si>
    <t>σta</t>
  </si>
  <si>
    <t>別紙の図にD2の影響線を示すがD1より小さく応力度に余裕はあるが、細長比l/rで使用断面が</t>
  </si>
  <si>
    <t>決まるので他の部材はD1と同じ断面を使用する。</t>
  </si>
  <si>
    <t>添接板の断面二次モーメント</t>
  </si>
  <si>
    <t>A1</t>
  </si>
  <si>
    <t>A2</t>
  </si>
  <si>
    <t>I1</t>
  </si>
  <si>
    <t>I2</t>
  </si>
  <si>
    <t>I=4I1+2I2+4A1*</t>
  </si>
  <si>
    <t>添接板の縁応力度</t>
  </si>
  <si>
    <t>σ=Mw/I*y</t>
  </si>
  <si>
    <t>+</t>
  </si>
  <si>
    <t>ろ</t>
  </si>
  <si>
    <t>^2</t>
  </si>
  <si>
    <t>y</t>
  </si>
  <si>
    <t>フランジの添接</t>
  </si>
  <si>
    <t>1　上フランジ</t>
  </si>
  <si>
    <t>断面1</t>
  </si>
  <si>
    <t>フランジ寸法</t>
  </si>
  <si>
    <t>継手位置の曲げ応力σc</t>
  </si>
  <si>
    <t>μ=Agσc/ρa</t>
  </si>
  <si>
    <t>断面係数w</t>
  </si>
  <si>
    <t>断面積Ag</t>
  </si>
  <si>
    <t>継手位置のモーメントM</t>
  </si>
  <si>
    <t>使う応力</t>
  </si>
  <si>
    <t>よって</t>
  </si>
  <si>
    <t>本使用</t>
  </si>
  <si>
    <t>0.75σca</t>
  </si>
  <si>
    <t>縦</t>
  </si>
  <si>
    <t>横</t>
  </si>
  <si>
    <t>a</t>
  </si>
  <si>
    <t>b:kime</t>
  </si>
  <si>
    <t xml:space="preserve">b </t>
  </si>
  <si>
    <t>central</t>
  </si>
  <si>
    <t>間隔の数</t>
  </si>
  <si>
    <t>片側合計</t>
  </si>
  <si>
    <t>正面から見た</t>
  </si>
  <si>
    <t>横から見た</t>
  </si>
  <si>
    <t>い</t>
  </si>
  <si>
    <t>ろ</t>
  </si>
  <si>
    <t>は'</t>
  </si>
  <si>
    <t>chuusin</t>
  </si>
  <si>
    <t>添接板</t>
  </si>
  <si>
    <t>A1</t>
  </si>
  <si>
    <t>A</t>
  </si>
  <si>
    <t>σ=σc*Ag/A</t>
  </si>
  <si>
    <t>全体</t>
  </si>
  <si>
    <t>断面1</t>
  </si>
  <si>
    <t>フランジ寸法</t>
  </si>
  <si>
    <t>断面積Ag</t>
  </si>
  <si>
    <t>母材の応力照査</t>
  </si>
  <si>
    <t>1列目穴引き</t>
  </si>
  <si>
    <t>Ag'=Ag-</t>
  </si>
  <si>
    <t>ボルトの控除径</t>
  </si>
  <si>
    <t>-</t>
  </si>
  <si>
    <t>Ag'=</t>
  </si>
  <si>
    <t>σc'=σc*Ag/Ag'</t>
  </si>
  <si>
    <t>c:kime</t>
  </si>
  <si>
    <t>c</t>
  </si>
  <si>
    <t>対傾構の設計</t>
  </si>
  <si>
    <t>片側支点に作用する力</t>
  </si>
  <si>
    <t>端対傾構</t>
  </si>
  <si>
    <t>端対傾構は別紙の図に示すような構造にする。</t>
  </si>
  <si>
    <t>上弦材と床版が接し、輪荷重を考慮する。</t>
  </si>
  <si>
    <t>上弦材</t>
  </si>
  <si>
    <t>輪荷重によるモーメント</t>
  </si>
  <si>
    <t>衝撃係数</t>
  </si>
  <si>
    <t>衝撃によるモーメント</t>
  </si>
  <si>
    <t>合計モーメント</t>
  </si>
  <si>
    <t>横荷重の計算</t>
  </si>
  <si>
    <t>1≦B/D</t>
  </si>
  <si>
    <t>風荷重</t>
  </si>
  <si>
    <t>片側支点に作用する力</t>
  </si>
  <si>
    <t>Pw=wl/2α</t>
  </si>
  <si>
    <t>l:支間(m)</t>
  </si>
  <si>
    <t>α:風荷重に対する許容応力度の割り増し係数</t>
  </si>
  <si>
    <t>B</t>
  </si>
  <si>
    <t>Ml=P*r/4</t>
  </si>
  <si>
    <t>r</t>
  </si>
  <si>
    <t>補剛材の設計</t>
  </si>
  <si>
    <t>主桁の中で断面力がもっとも大きい主桁について設計し、他はこれと同じにする。</t>
  </si>
  <si>
    <t>この場合は中桁で設計する。</t>
  </si>
  <si>
    <t>垂直補剛材</t>
  </si>
  <si>
    <t>bd=（上フランジ-ウェブ）/2</t>
  </si>
  <si>
    <t>材料SS400材</t>
  </si>
  <si>
    <t>端補剛材は図に示すように両支点は主桁の両側に入れる。</t>
  </si>
  <si>
    <t>補剛材の板幅</t>
  </si>
  <si>
    <t>hw:腹板の高さ (mm)</t>
  </si>
  <si>
    <t>b=hw/30+50</t>
  </si>
  <si>
    <t>b:補剛材の板厚(mm)</t>
  </si>
  <si>
    <t>使用板幅</t>
  </si>
  <si>
    <t>mm以上で</t>
  </si>
  <si>
    <t>mm</t>
  </si>
  <si>
    <t>とする。</t>
  </si>
  <si>
    <t>補剛材の板厚</t>
  </si>
  <si>
    <t>使用幅/13</t>
  </si>
  <si>
    <t>mm</t>
  </si>
  <si>
    <t>緑は規定値だが自分で決めること</t>
  </si>
  <si>
    <t>以上で使用板厚</t>
  </si>
  <si>
    <t>mmとする。</t>
  </si>
  <si>
    <t>従って、使用寸法は2-PL</t>
  </si>
  <si>
    <t>*</t>
  </si>
  <si>
    <t>とする。</t>
  </si>
  <si>
    <t>有効断面積の計算</t>
  </si>
  <si>
    <t>影響線</t>
  </si>
  <si>
    <t>y:斜辺</t>
  </si>
  <si>
    <t>高さ</t>
  </si>
  <si>
    <t>底辺</t>
  </si>
  <si>
    <t>sinθ</t>
  </si>
  <si>
    <t>x:高さ</t>
  </si>
  <si>
    <t>1/sinθ:M1</t>
  </si>
  <si>
    <t>別紙の図参照</t>
  </si>
  <si>
    <t>tw:腹板厚</t>
  </si>
  <si>
    <t>12tw</t>
  </si>
  <si>
    <t>斜線部の面積Ag(cm^2)</t>
  </si>
  <si>
    <t>cm^2</t>
  </si>
  <si>
    <t>x1</t>
  </si>
  <si>
    <t>cm</t>
  </si>
  <si>
    <t>y1</t>
  </si>
  <si>
    <t>x2</t>
  </si>
  <si>
    <t>y2</t>
  </si>
  <si>
    <t>*柱としての有効断面積は補剛材断面及び腹板のうち</t>
  </si>
  <si>
    <t>補剛材取り付け部から両側にそれぞれ腹板厚の12倍までとする。</t>
  </si>
  <si>
    <t>補剛材のみの断面積</t>
  </si>
  <si>
    <t>A'=</t>
  </si>
  <si>
    <t>cm^2</t>
  </si>
  <si>
    <t>Ag</t>
  </si>
  <si>
    <t>最小腹板厚</t>
  </si>
  <si>
    <t>腹板高:h</t>
  </si>
  <si>
    <t>*全有効断面積＜斜線部＞は補剛材の断面積の1.7倍を越えてはならない。</t>
  </si>
  <si>
    <t>よって柱として働く全有効断面積は</t>
  </si>
  <si>
    <t>cm^2となる。</t>
  </si>
  <si>
    <t>断面二次モーメント（腹板中心x軸に関する）</t>
  </si>
  <si>
    <t>2-PL</t>
  </si>
  <si>
    <t>A(cm^2)</t>
  </si>
  <si>
    <t>y(cm)</t>
  </si>
  <si>
    <t>*</t>
  </si>
  <si>
    <t>cm</t>
  </si>
  <si>
    <t>Ay^2(cm^4)</t>
  </si>
  <si>
    <t>bh^3/12</t>
  </si>
  <si>
    <t>Ix</t>
  </si>
  <si>
    <t>cm^4</t>
  </si>
  <si>
    <t>腹板の断面二次モーメントは無視</t>
  </si>
  <si>
    <t>有効座屈長（腹板高hwの1/2とればよい）</t>
  </si>
  <si>
    <t>ｌ</t>
  </si>
  <si>
    <t>cm</t>
  </si>
  <si>
    <t>回転半径r=√(Ix/A)cm</t>
  </si>
  <si>
    <t>r</t>
  </si>
  <si>
    <t>cm</t>
  </si>
  <si>
    <t>細長比 l/r</t>
  </si>
  <si>
    <t>l/r</t>
  </si>
  <si>
    <t>このときの許容圧縮応力度σca=1400kg/cm^2</t>
  </si>
  <si>
    <t>σca</t>
  </si>
  <si>
    <t>kg/cm^2</t>
  </si>
  <si>
    <t>√（底辺＾2+高さ^2）</t>
  </si>
  <si>
    <t>軸圧縮応力度（せん断力の大きい中桁支点で計算）</t>
  </si>
  <si>
    <t>S</t>
  </si>
  <si>
    <t>σc=S/A</t>
  </si>
  <si>
    <t>kg/cm^2</t>
  </si>
  <si>
    <t>中間補剛材</t>
  </si>
  <si>
    <t>別紙の図に示すように端対傾構1から次の中間対傾構2の間に入れる</t>
  </si>
  <si>
    <t>補剛材の設計補剛材間隔を</t>
  </si>
  <si>
    <t>とする。</t>
  </si>
  <si>
    <t>材料SS400材</t>
  </si>
  <si>
    <t>補剛材の板幅</t>
  </si>
  <si>
    <t>b:補剛材の板厚(mm)</t>
  </si>
  <si>
    <t>従って，使用寸法は1-PL</t>
  </si>
  <si>
    <t>必要断面二次モーメント</t>
  </si>
  <si>
    <t>Ireq=hw/tw^3/11*8(hw/a)^2</t>
  </si>
  <si>
    <t>cm^4</t>
  </si>
  <si>
    <t>tw:腹版の板厚(cm)</t>
  </si>
  <si>
    <t>hw:腹版高(cm)</t>
  </si>
  <si>
    <t>a:垂直補剛材の使用間隔(cm)</t>
  </si>
  <si>
    <t>cm</t>
  </si>
  <si>
    <t>断面二次モーメント（t軸に関する。）</t>
  </si>
  <si>
    <t>1-PL</t>
  </si>
  <si>
    <t>b*h^3/12</t>
  </si>
  <si>
    <t>It</t>
  </si>
  <si>
    <t>Ireq</t>
  </si>
  <si>
    <t>補剛材間隔の照査</t>
  </si>
  <si>
    <t>仮定した補剛材間隔a=</t>
  </si>
  <si>
    <t>に対する応力度の照査</t>
  </si>
  <si>
    <t>a/hw</t>
  </si>
  <si>
    <t>せん断力の大きい中桁の支点上1で照査する。</t>
  </si>
  <si>
    <t>せん断応力度τ=S/Aw</t>
  </si>
  <si>
    <t>S</t>
  </si>
  <si>
    <t>kg</t>
  </si>
  <si>
    <t>Aw</t>
  </si>
  <si>
    <t>τ</t>
  </si>
  <si>
    <t>kg/cm^2</t>
  </si>
  <si>
    <t>補剛材間隔の照査式に代入</t>
  </si>
  <si>
    <t>（水平補剛材を1段用いる場合）</t>
  </si>
  <si>
    <t>a/hw</t>
  </si>
  <si>
    <t>より</t>
  </si>
  <si>
    <t>hw:腹版高(cm)</t>
  </si>
  <si>
    <t>2PL</t>
  </si>
  <si>
    <t>斜め部材</t>
  </si>
  <si>
    <t>縦部材</t>
  </si>
  <si>
    <t>腹板の添板は実応力でなく全強75％で設計しているので添接板に作用する曲げモーメントは</t>
  </si>
  <si>
    <t>cm</t>
  </si>
  <si>
    <t>別紙の図の応力度分布からなる。</t>
  </si>
  <si>
    <t>M=σw</t>
  </si>
  <si>
    <t>添接板の断面二次モーメントは</t>
  </si>
  <si>
    <t>I=</t>
  </si>
  <si>
    <t>添接板の縁応力度は</t>
  </si>
  <si>
    <t>σ=M/I*y</t>
  </si>
  <si>
    <t>^2</t>
  </si>
  <si>
    <t>kg*cm</t>
  </si>
  <si>
    <t>b*h^3/12</t>
  </si>
  <si>
    <t>y</t>
  </si>
  <si>
    <t>補剛材</t>
  </si>
  <si>
    <t>水平補剛材</t>
  </si>
  <si>
    <t>垂直補剛材</t>
  </si>
  <si>
    <t>横桁腹板厚:t</t>
  </si>
  <si>
    <t>h/152</t>
  </si>
  <si>
    <t>t=</t>
  </si>
  <si>
    <t>よって水平補剛材は</t>
  </si>
  <si>
    <t>70t=</t>
  </si>
  <si>
    <t>より垂直補剛材は</t>
  </si>
  <si>
    <t>本入れる</t>
  </si>
  <si>
    <t>a:補剛材間隔</t>
  </si>
  <si>
    <t>mmの中間に</t>
  </si>
  <si>
    <t>tw:腹版の板厚(cm)</t>
  </si>
  <si>
    <t>a:垂直補剛材の使用間隔(cm)</t>
  </si>
  <si>
    <t>σ:圧縮応力度（kg/cm^2）</t>
  </si>
  <si>
    <t>1L</t>
  </si>
  <si>
    <t>rx</t>
  </si>
  <si>
    <t>r min</t>
  </si>
  <si>
    <t>細長比 l/r min</t>
  </si>
  <si>
    <t>σa=σca*(0.5+l/rx/1000)</t>
  </si>
  <si>
    <t>σc</t>
  </si>
  <si>
    <t>σc=iDde/Ag</t>
  </si>
  <si>
    <t>有効座屈長:l</t>
  </si>
  <si>
    <t>部材総断面積:Ag</t>
  </si>
  <si>
    <t>mm</t>
  </si>
  <si>
    <t>σca:許容軸方向圧縮応力</t>
  </si>
  <si>
    <t>rx:断面の重心を通りがゼット面に平行な軸まわりの断面二次半径</t>
  </si>
  <si>
    <t>σc=eDde/Ag</t>
  </si>
  <si>
    <t>σt</t>
  </si>
  <si>
    <t>σta</t>
  </si>
  <si>
    <t>引張材</t>
  </si>
  <si>
    <t>下弦材</t>
  </si>
  <si>
    <t>輪荷重による部材力</t>
  </si>
  <si>
    <t>衝撃による部材力</t>
  </si>
  <si>
    <t>風荷重による部材力</t>
  </si>
  <si>
    <t>応力の計算</t>
  </si>
  <si>
    <t>輪荷重による応力度</t>
  </si>
  <si>
    <t>細長比</t>
  </si>
  <si>
    <t>風荷重による応力度</t>
  </si>
  <si>
    <t>格子剛度</t>
  </si>
  <si>
    <t>z=(l/2a)^3*Iq/I</t>
  </si>
  <si>
    <t>Iq</t>
  </si>
  <si>
    <t>l:支間</t>
  </si>
  <si>
    <t>a:主桁間隔</t>
  </si>
  <si>
    <t>横桁の現場継手</t>
  </si>
  <si>
    <t>上下フランジの添接</t>
  </si>
  <si>
    <t>許容応力度</t>
  </si>
  <si>
    <t>慣用計算法のため、全強の75％の1050kg/cm^2について設計する。</t>
  </si>
  <si>
    <t>2面摩擦のボルト力ρa</t>
  </si>
  <si>
    <t>ρa</t>
  </si>
  <si>
    <t>M22F10T</t>
  </si>
  <si>
    <t>kg/本</t>
  </si>
  <si>
    <t>所用ボルト本数μ=A*σ/ρa</t>
  </si>
  <si>
    <t>0.75*1400</t>
  </si>
  <si>
    <t>A:フランジ断面積</t>
  </si>
  <si>
    <t>よって使用ボルト本数　片側に</t>
  </si>
  <si>
    <t>本とする。</t>
  </si>
  <si>
    <t>継手形状は別紙の図</t>
  </si>
  <si>
    <t>い</t>
  </si>
  <si>
    <t>ろ</t>
  </si>
  <si>
    <t>は</t>
  </si>
  <si>
    <t>に</t>
  </si>
  <si>
    <t>c</t>
  </si>
  <si>
    <t>d</t>
  </si>
  <si>
    <t>e</t>
  </si>
  <si>
    <t>横から見た</t>
  </si>
  <si>
    <t>正面から見た</t>
  </si>
  <si>
    <t>使用添接材</t>
  </si>
  <si>
    <t>SS400材</t>
  </si>
  <si>
    <t>1-SPL</t>
  </si>
  <si>
    <t>2-SPL</t>
  </si>
  <si>
    <t>PL</t>
  </si>
  <si>
    <t>Ag</t>
  </si>
  <si>
    <t>-</t>
  </si>
  <si>
    <t>An'</t>
  </si>
  <si>
    <t>圧縮フランジ</t>
  </si>
  <si>
    <t>引張フランジ</t>
  </si>
  <si>
    <t>σ</t>
  </si>
  <si>
    <t>腹板の添接</t>
  </si>
  <si>
    <t>許容応力度</t>
  </si>
  <si>
    <t>ほ</t>
  </si>
  <si>
    <t>へ</t>
  </si>
  <si>
    <t>正面</t>
  </si>
  <si>
    <t>縦右</t>
  </si>
  <si>
    <t>縦左</t>
  </si>
  <si>
    <t>は：決め</t>
  </si>
  <si>
    <t>間隔の数</t>
  </si>
  <si>
    <t>余り:片側</t>
  </si>
  <si>
    <t>座標応力</t>
  </si>
  <si>
    <t>残り</t>
  </si>
  <si>
    <t>全体：半</t>
  </si>
  <si>
    <t>中心から</t>
  </si>
  <si>
    <t>縦:migikara</t>
  </si>
  <si>
    <t>輪荷重と風荷重の組み合わせ（両加重を同時に受けるとき）</t>
  </si>
  <si>
    <t>Lp=P*l/4h</t>
  </si>
  <si>
    <t>I</t>
  </si>
  <si>
    <t>I*Lp</t>
  </si>
  <si>
    <t>橋長　ｌ</t>
  </si>
  <si>
    <t>等分布荷重P1の積載長　b</t>
  </si>
  <si>
    <t>β=b/l</t>
  </si>
  <si>
    <t>抵抗曲げモーメント</t>
  </si>
  <si>
    <t>合計曲げモーメント</t>
  </si>
  <si>
    <t>（１）外桁</t>
  </si>
  <si>
    <t>死荷重</t>
  </si>
  <si>
    <t>死荷重強度</t>
  </si>
  <si>
    <t>Md1=(W*l^2)/2*(x/l*(1-x/l))</t>
  </si>
  <si>
    <t>活荷重（等分布荷重 P2)</t>
  </si>
  <si>
    <t>MP2=(P2*l^2)/2*(x/l*(1-x/l))</t>
  </si>
  <si>
    <t>活荷重（等分布荷重 P1)</t>
  </si>
  <si>
    <t>MP1=(P1*β)/2*(b+2c)*x-P1/2*(x-a)^2</t>
  </si>
  <si>
    <t>Mｉ=(MP1+MP2)*ｉ</t>
  </si>
  <si>
    <t>支点からの距離</t>
  </si>
  <si>
    <t>（２）中桁</t>
  </si>
  <si>
    <t>抵抗曲げモーメント</t>
  </si>
  <si>
    <t>合計曲げモーメント</t>
  </si>
  <si>
    <t>死荷重強度</t>
  </si>
  <si>
    <t>せん断力の計算</t>
  </si>
  <si>
    <t>合計せん断力</t>
  </si>
  <si>
    <t>（１）外桁</t>
  </si>
  <si>
    <t>死荷重強度</t>
  </si>
  <si>
    <t>Sd1=W*l*(1/2-x/l)</t>
  </si>
  <si>
    <t>SP2=(P2*l)/2*(1-x/l)^2</t>
  </si>
  <si>
    <t>SP1=P1*b(l-x-b/2)/l</t>
  </si>
  <si>
    <t>Si=(SP1+SP2)*ｉ</t>
  </si>
  <si>
    <t>SP2</t>
  </si>
  <si>
    <t>SP1</t>
  </si>
  <si>
    <t>x1</t>
  </si>
  <si>
    <t>y1</t>
  </si>
  <si>
    <t>→参照</t>
  </si>
  <si>
    <t>(hw/(100te))^4*[(σ/9500)^2+{τ/(950+810*(hw/a)^2}^2]≦1</t>
  </si>
  <si>
    <t>x2</t>
  </si>
  <si>
    <t>y2</t>
  </si>
  <si>
    <t>x3</t>
  </si>
  <si>
    <t>y4</t>
  </si>
  <si>
    <t>y3</t>
  </si>
  <si>
    <t>x4</t>
  </si>
  <si>
    <t>x5</t>
  </si>
  <si>
    <t>y5</t>
  </si>
  <si>
    <t>ho</t>
  </si>
  <si>
    <t>Lw=w/</t>
  </si>
  <si>
    <t>h</t>
  </si>
  <si>
    <t>t</t>
  </si>
  <si>
    <t>合計:L=Lp+iLp</t>
  </si>
  <si>
    <t>1-L</t>
  </si>
  <si>
    <t>D2=wA2</t>
  </si>
  <si>
    <t>Ag:断面積</t>
  </si>
  <si>
    <t>σt=L/An</t>
  </si>
  <si>
    <t>An:純断面積</t>
  </si>
  <si>
    <t>二次部材引張</t>
  </si>
  <si>
    <t>σt=Lw/An</t>
  </si>
  <si>
    <t>σ=σtr+σtw</t>
  </si>
  <si>
    <t>中間対傾構</t>
  </si>
  <si>
    <t>中間対傾構は別紙の図のような構造にする</t>
  </si>
  <si>
    <t>風荷重のみについて設計する。二組の中間対傾構が</t>
  </si>
  <si>
    <t>箇所にあり</t>
  </si>
  <si>
    <t>これが均等に負担するものとすれば1組で</t>
  </si>
  <si>
    <t>上下弦材</t>
  </si>
  <si>
    <t>応力計算</t>
  </si>
  <si>
    <t>Ag:断面積</t>
  </si>
  <si>
    <t>rx</t>
  </si>
  <si>
    <t>r min</t>
  </si>
  <si>
    <t>(fukuin-sikan)/2</t>
  </si>
  <si>
    <t>bo=</t>
  </si>
  <si>
    <t>二次部材</t>
  </si>
  <si>
    <t>σc=U/Ag</t>
  </si>
  <si>
    <t>1-L</t>
  </si>
  <si>
    <t>eDae=-w*S/l</t>
  </si>
  <si>
    <t>l :s</t>
  </si>
  <si>
    <t>ｍm使用</t>
  </si>
  <si>
    <t>横桁</t>
  </si>
  <si>
    <t>別紙の図に示すように支間中央に横桁を取り付ける。主桁の荷重分布を</t>
  </si>
  <si>
    <t>行わないで慣用計算法で設計したため、格子剛度zが</t>
  </si>
  <si>
    <t>割にすれば</t>
  </si>
  <si>
    <t>場合</t>
  </si>
  <si>
    <t>h=</t>
  </si>
  <si>
    <t>*</t>
  </si>
  <si>
    <t>=</t>
  </si>
  <si>
    <t>腹板厚t=h/152</t>
  </si>
  <si>
    <t>よって</t>
  </si>
  <si>
    <t>断面寸法</t>
  </si>
  <si>
    <t>断面二次モーメント(cm^4)</t>
  </si>
  <si>
    <t>x mm</t>
  </si>
  <si>
    <t>y mm</t>
  </si>
  <si>
    <t>Ag(cm^2)</t>
  </si>
  <si>
    <t>Agy^2(cm^4)</t>
  </si>
  <si>
    <t>上フランジ</t>
  </si>
  <si>
    <t>*</t>
  </si>
  <si>
    <t>=</t>
  </si>
  <si>
    <t>腹板</t>
  </si>
  <si>
    <t>*</t>
  </si>
  <si>
    <t>=</t>
  </si>
  <si>
    <t>b*h^3/12=</t>
  </si>
  <si>
    <t>x*y^3/12</t>
  </si>
  <si>
    <t>=</t>
  </si>
  <si>
    <t>合計</t>
  </si>
  <si>
    <t>=</t>
  </si>
  <si>
    <t>τ:せん断応力度(kg/cm^2)</t>
  </si>
  <si>
    <t>(hw/(100te))^4*[(σ/9500)^2+{τ/(950+810*(hw/a)^2}^2]</t>
  </si>
  <si>
    <t>別紙の図に示すように、中間対傾構2、3の間に入れる補剛材間隔を</t>
  </si>
  <si>
    <t>a=550/3</t>
  </si>
  <si>
    <t>cm</t>
  </si>
  <si>
    <t>使用断面寸法を1から2と同じ</t>
  </si>
  <si>
    <t>1-PL</t>
  </si>
  <si>
    <t>必要断面二次モーメント</t>
  </si>
  <si>
    <t>Ireq=hw*tw^3/11*8*(hw/a)^2</t>
  </si>
  <si>
    <t>It</t>
  </si>
  <si>
    <t>補剛材間隔の照査</t>
  </si>
  <si>
    <t>仮定した補剛材間隔</t>
  </si>
  <si>
    <t>a=</t>
  </si>
  <si>
    <t>cmに対する応力度の照査</t>
  </si>
  <si>
    <t>a/hw</t>
  </si>
  <si>
    <t>中桁の対傾構2で照査する。</t>
  </si>
  <si>
    <t>（支点から</t>
  </si>
  <si>
    <t>mのモーメントの値はモーメント図よりM=</t>
  </si>
  <si>
    <t>tm)</t>
  </si>
  <si>
    <t>曲げ応力度σ=M/w</t>
  </si>
  <si>
    <t>kg/cm^2</t>
  </si>
  <si>
    <t>ｗ；断面係数</t>
  </si>
  <si>
    <t>断面2の</t>
  </si>
  <si>
    <t>（支点から</t>
  </si>
  <si>
    <t>mのせん断力の値はモーメント図よりS=</t>
  </si>
  <si>
    <t>t)</t>
  </si>
  <si>
    <t>せん断応力度τ=S/Aw</t>
  </si>
  <si>
    <t>kg/cm^2</t>
  </si>
  <si>
    <t>Aw=hw*tw</t>
  </si>
  <si>
    <t>cm^2</t>
  </si>
  <si>
    <t>補剛材間隔の照査式に代入</t>
  </si>
  <si>
    <t>（水平補剛材を1段用いる場合）</t>
  </si>
  <si>
    <t>だから</t>
  </si>
  <si>
    <t>別紙の図に示すように、中間対傾構3、4の間に入れる補剛材間隔を</t>
  </si>
  <si>
    <t>中桁の対傾構3で照査する。</t>
  </si>
  <si>
    <t>断面1の</t>
  </si>
  <si>
    <t>横桁4（支間中央）で照査</t>
  </si>
  <si>
    <t>hw</t>
  </si>
  <si>
    <t>tw</t>
  </si>
  <si>
    <t>a=550/3</t>
  </si>
  <si>
    <t>（中桁断面1参照）</t>
  </si>
  <si>
    <t>S</t>
  </si>
  <si>
    <t>kg</t>
  </si>
  <si>
    <t>（支間中央のせん断力値）</t>
  </si>
  <si>
    <t>Aw</t>
  </si>
  <si>
    <t>せん断応力度τ</t>
  </si>
  <si>
    <t>水平補剛材（材質SS400材）</t>
  </si>
  <si>
    <t>水平補剛材は曲げモーメントによる腹板圧縮側の座屈を防ぐために腹板の片側にもうける。</t>
  </si>
  <si>
    <t>取り付け位置</t>
  </si>
  <si>
    <t>水平補剛材を1段もうけるため別紙の図の位置に取り付ける。</t>
  </si>
  <si>
    <t>0.2hw</t>
  </si>
  <si>
    <t>水平補剛材の剛度</t>
  </si>
  <si>
    <t>hw:腹板高(cm)</t>
  </si>
  <si>
    <t>tw:腹板厚(cm)</t>
  </si>
  <si>
    <t>a:垂直補剛材の使用間隔(cm)</t>
  </si>
  <si>
    <t>（中間補剛材間隔のうち最大となるもの）</t>
  </si>
  <si>
    <t>Ireq=hw*tw^3/11*30*(a/hw)</t>
  </si>
  <si>
    <t>使用寸法を</t>
  </si>
  <si>
    <t>とすれば</t>
  </si>
  <si>
    <t>t-t軸に関する補剛材の断面二次モーメントは</t>
  </si>
  <si>
    <t>A(cm)</t>
  </si>
  <si>
    <t>y(cm)</t>
  </si>
  <si>
    <t>Ay^2(cm^4)</t>
  </si>
  <si>
    <t>b*h^3/12(cm^4)</t>
  </si>
  <si>
    <t>It</t>
  </si>
  <si>
    <t>cm^4</t>
  </si>
  <si>
    <t>Ireq</t>
  </si>
  <si>
    <t>I=20/(50+r)</t>
  </si>
  <si>
    <t>Mi</t>
  </si>
  <si>
    <t>t*m</t>
  </si>
  <si>
    <t>kgf/m</t>
  </si>
  <si>
    <t>kgf/m</t>
  </si>
  <si>
    <t>地震荷重</t>
  </si>
  <si>
    <t>Wd1:外桁の死荷重強度</t>
  </si>
  <si>
    <t>Wd2:中桁の死荷重強度</t>
  </si>
  <si>
    <t>n1:外桁本数</t>
  </si>
  <si>
    <t>n2:中桁本数</t>
  </si>
  <si>
    <t>α:地震荷重に対する許容応力度の割り増し係数</t>
  </si>
  <si>
    <t>kh:水平震度</t>
  </si>
  <si>
    <t>Wd=n1*wd1+n2*Wd2</t>
  </si>
  <si>
    <t>Pe=Wd*l/(2*α)*kh</t>
  </si>
  <si>
    <t>kg</t>
  </si>
  <si>
    <t>のほうが大きいから大きい方で設計する。</t>
  </si>
  <si>
    <t>したがって、横荷重については</t>
  </si>
  <si>
    <t>P</t>
  </si>
  <si>
    <t>片側支点に</t>
  </si>
  <si>
    <t>組の端対傾構がありこれが均等に抵抗するものとすれば1組に作用する力は</t>
  </si>
  <si>
    <t>1/</t>
  </si>
  <si>
    <t>になる。</t>
  </si>
  <si>
    <t>W=P/</t>
  </si>
  <si>
    <t>応力度の計算</t>
  </si>
  <si>
    <t>使用断面</t>
  </si>
  <si>
    <t>最小回転半径:r min</t>
  </si>
  <si>
    <t>断面係数:w</t>
  </si>
  <si>
    <t>断面積:A</t>
  </si>
  <si>
    <t>曲げ応力度:σb=M/w</t>
  </si>
  <si>
    <t>M</t>
  </si>
  <si>
    <t>軸方向力（横加重による）</t>
  </si>
  <si>
    <t>座屈長として主桁間隔l</t>
  </si>
  <si>
    <t>l</t>
  </si>
  <si>
    <t>cmとする。</t>
  </si>
  <si>
    <t>細長比l/r min</t>
  </si>
  <si>
    <t>二次部材のl/r=</t>
  </si>
  <si>
    <t>横桁</t>
  </si>
  <si>
    <t>横構</t>
  </si>
  <si>
    <t>上弦材</t>
  </si>
  <si>
    <t>下弦材</t>
  </si>
  <si>
    <t>ガセット</t>
  </si>
  <si>
    <t>上部</t>
  </si>
  <si>
    <t>中部</t>
  </si>
  <si>
    <t>下部</t>
  </si>
  <si>
    <t>L</t>
  </si>
  <si>
    <t>合計</t>
  </si>
  <si>
    <t>許容軸圧縮応力度</t>
  </si>
  <si>
    <t>l/r=</t>
  </si>
  <si>
    <t>d145</t>
  </si>
  <si>
    <t>d117</t>
  </si>
  <si>
    <t>σca</t>
  </si>
  <si>
    <t>軸応力度σc=Vab/A=W/A</t>
  </si>
  <si>
    <t>t/m^3</t>
  </si>
  <si>
    <t>輪荷重と地震荷重の組み合わせの照査（モーメントと軸力の組み合わせ）</t>
  </si>
  <si>
    <t>σ=σb+σc</t>
  </si>
  <si>
    <t>1400*α　割り増し係数</t>
  </si>
  <si>
    <t>σa</t>
  </si>
  <si>
    <t>σb/σca+σc/σba≦1</t>
  </si>
  <si>
    <t>斜材</t>
  </si>
  <si>
    <t>輪荷重による部材力</t>
  </si>
  <si>
    <t>Dde=Dce=-P/2*S/h</t>
  </si>
  <si>
    <t>S</t>
  </si>
  <si>
    <t>h</t>
  </si>
  <si>
    <t>衝撃による部材力</t>
  </si>
  <si>
    <t>衝撃係数 I</t>
  </si>
  <si>
    <t>IDde=Dde*i</t>
  </si>
  <si>
    <t>合計D=Dde+iDde</t>
  </si>
  <si>
    <t>地震荷重による部材力</t>
  </si>
  <si>
    <t>eDde=-eDde=-W*S/l</t>
  </si>
  <si>
    <t>応力度の計算</t>
  </si>
  <si>
    <t>輪荷重による応力度</t>
  </si>
  <si>
    <t>σ</t>
  </si>
  <si>
    <t>風荷重による応力度</t>
  </si>
  <si>
    <t>また風荷重による部材力を引張材（横荷重が反対方向から作用すると</t>
  </si>
  <si>
    <t>別紙の図に示す斜線部をのぞいた純断面積Anは</t>
  </si>
  <si>
    <t>An</t>
  </si>
  <si>
    <t>σt=eDde/An</t>
  </si>
  <si>
    <t>輪荷重と風荷重の組み合わせ（両荷重を同時に受けるとき）</t>
  </si>
  <si>
    <t>単純非合成I桁橋</t>
  </si>
  <si>
    <t>5.幅員</t>
  </si>
  <si>
    <t>13.継手材</t>
  </si>
  <si>
    <t>m</t>
  </si>
  <si>
    <t>本</t>
  </si>
  <si>
    <t>cm</t>
  </si>
  <si>
    <t>片持版、主鉄筋が車両進行方向に対して垂直なので</t>
  </si>
  <si>
    <t>ｃｍ</t>
  </si>
  <si>
    <t>mm</t>
  </si>
  <si>
    <t>m</t>
  </si>
  <si>
    <t>*</t>
  </si>
  <si>
    <t>=</t>
  </si>
  <si>
    <t>千鳥でNGのときの値</t>
  </si>
  <si>
    <t>m以上</t>
  </si>
  <si>
    <t>P</t>
  </si>
  <si>
    <t>α</t>
  </si>
  <si>
    <t>=</t>
  </si>
  <si>
    <t>cm^2</t>
  </si>
  <si>
    <t>n</t>
  </si>
  <si>
    <t>kgf/cm^2</t>
  </si>
  <si>
    <t>*</t>
  </si>
  <si>
    <t>cm^2</t>
  </si>
  <si>
    <t>cm</t>
  </si>
  <si>
    <t>kg/cm^2</t>
  </si>
  <si>
    <t>t</t>
  </si>
  <si>
    <t>1-[</t>
  </si>
  <si>
    <t>kg/m</t>
  </si>
  <si>
    <t>=</t>
  </si>
  <si>
    <t>t/m^2</t>
  </si>
  <si>
    <t>t/m</t>
  </si>
  <si>
    <t>また風荷重に対する割り増し係数α=1.2をとれば一組の横構に作用する力</t>
  </si>
  <si>
    <t>風荷重と同様に考える。また地震荷重に対する割り増し係数α=1.5ｗｐとれば1組の横構に作用する力</t>
  </si>
  <si>
    <t>対傾構クルス(4本の方のみ使用)</t>
  </si>
  <si>
    <t>t/m^3</t>
  </si>
  <si>
    <t>t</t>
  </si>
  <si>
    <t>φ</t>
  </si>
  <si>
    <t>Ｐ’</t>
  </si>
  <si>
    <t>合計曲げモーメント</t>
  </si>
  <si>
    <t>w</t>
  </si>
  <si>
    <t>絶対値</t>
  </si>
  <si>
    <t>主桁の設計</t>
  </si>
  <si>
    <t>b</t>
  </si>
  <si>
    <t>cm^3</t>
  </si>
  <si>
    <t>t</t>
  </si>
  <si>
    <t>D</t>
  </si>
  <si>
    <t>I</t>
  </si>
  <si>
    <t>ro</t>
  </si>
  <si>
    <t>ha</t>
  </si>
  <si>
    <t>ni</t>
  </si>
  <si>
    <t>１．外桁</t>
  </si>
  <si>
    <t>A2</t>
  </si>
  <si>
    <t>t/m</t>
  </si>
  <si>
    <t>活荷重</t>
  </si>
  <si>
    <t>等分布荷重</t>
  </si>
  <si>
    <t>衝撃係数</t>
  </si>
  <si>
    <t>a)死荷重</t>
  </si>
  <si>
    <t>活荷重（等分布荷重P1）</t>
  </si>
  <si>
    <t>g</t>
  </si>
  <si>
    <t>p</t>
  </si>
  <si>
    <t>g'</t>
  </si>
  <si>
    <t>p'</t>
  </si>
  <si>
    <t>千鳥</t>
  </si>
  <si>
    <t>l</t>
  </si>
  <si>
    <t>t*m</t>
  </si>
  <si>
    <t>b</t>
  </si>
  <si>
    <t>外桁</t>
  </si>
  <si>
    <t>中桁</t>
  </si>
  <si>
    <t>死荷重</t>
  </si>
  <si>
    <t>合計（死+活）</t>
  </si>
  <si>
    <t>影響線のところを参照のことです。</t>
  </si>
  <si>
    <t>対傾構クルス(4本の方のみ使用して)</t>
  </si>
  <si>
    <t>I mean=I max /(1+3α/25)</t>
  </si>
  <si>
    <t>中桁</t>
  </si>
  <si>
    <t>I mean</t>
  </si>
  <si>
    <t>平均断面二次モーメント</t>
  </si>
  <si>
    <t>外桁</t>
  </si>
  <si>
    <t>I min*10^6</t>
  </si>
  <si>
    <t>I max*10^6</t>
  </si>
  <si>
    <t>I mean*10^6</t>
  </si>
  <si>
    <t>（α：α=(I max-I min)/I min)</t>
  </si>
  <si>
    <t>制作そり</t>
  </si>
  <si>
    <t>制作そりは死荷重に対して水平になるようにつける。</t>
  </si>
  <si>
    <t>ηｌ:たわみ量</t>
  </si>
  <si>
    <t>θ</t>
  </si>
  <si>
    <t>tanθ</t>
  </si>
  <si>
    <t>Md:死荷重による支間中央曲げモーメント</t>
  </si>
  <si>
    <t>E:鋼のヤング係数</t>
  </si>
  <si>
    <t>l:支間</t>
  </si>
  <si>
    <t>中桁:ηｌd</t>
  </si>
  <si>
    <t>外桁:Md</t>
  </si>
  <si>
    <t>中桁:Md</t>
  </si>
  <si>
    <t>たわみを放物線を考えて各対傾構位置でのたわみ量を求める</t>
  </si>
  <si>
    <t>ηｌ＝5Md*l^2/(48*E*I mean)</t>
  </si>
  <si>
    <t>外桁:ηｌd</t>
  </si>
  <si>
    <t>x</t>
  </si>
  <si>
    <t>ηx=ηl(1-(2x/l)^2)</t>
  </si>
  <si>
    <t>ηx</t>
  </si>
  <si>
    <t>cm</t>
  </si>
  <si>
    <t>各桁の制作そりは下表</t>
  </si>
  <si>
    <t>対傾構番号</t>
  </si>
  <si>
    <t>外桁(cm)</t>
  </si>
  <si>
    <t>中桁(cm)</t>
  </si>
  <si>
    <t>材種</t>
  </si>
  <si>
    <t>種別</t>
  </si>
  <si>
    <t>断面寸法</t>
  </si>
  <si>
    <t>長さ(mm)</t>
  </si>
  <si>
    <t>個数</t>
  </si>
  <si>
    <t>単位重量(kg/m)</t>
  </si>
  <si>
    <t>1個の重量(kg/本)</t>
  </si>
  <si>
    <t>重量(kg)</t>
  </si>
  <si>
    <t>フランジ</t>
  </si>
  <si>
    <t>ウェブ</t>
  </si>
  <si>
    <t>添接</t>
  </si>
  <si>
    <t>ボルト</t>
  </si>
  <si>
    <t>垂直補剛材</t>
  </si>
  <si>
    <t>水平補剛材</t>
  </si>
  <si>
    <t>計</t>
  </si>
  <si>
    <t>Flg</t>
  </si>
  <si>
    <t>Web</t>
  </si>
  <si>
    <t>U*Flg</t>
  </si>
  <si>
    <t>L*Flg</t>
  </si>
  <si>
    <t>端</t>
  </si>
  <si>
    <t>中間</t>
  </si>
  <si>
    <t>主桁の重量</t>
  </si>
  <si>
    <t>材料表の体積より</t>
  </si>
  <si>
    <t>横桁の重量</t>
  </si>
  <si>
    <t>横桁鋼重</t>
  </si>
  <si>
    <t>対傾構の重量</t>
  </si>
  <si>
    <t>端対傾構</t>
  </si>
  <si>
    <t>上弦材</t>
  </si>
  <si>
    <t>単位重量</t>
  </si>
  <si>
    <t>長さ</t>
  </si>
  <si>
    <t>下弦材</t>
  </si>
  <si>
    <t>斜材</t>
  </si>
  <si>
    <t>中間対傾構</t>
  </si>
  <si>
    <t>端対傾構鋼重量</t>
  </si>
  <si>
    <t>中間対傾構鋼重量</t>
  </si>
  <si>
    <t>下横構の重量</t>
  </si>
  <si>
    <t>D1部材</t>
  </si>
  <si>
    <t>D２部材</t>
  </si>
  <si>
    <t>下横構鋼重</t>
  </si>
  <si>
    <t>各部材に対する補剛材，添接板，ガゼット，ボルト等の重量</t>
  </si>
  <si>
    <t>と仮定する</t>
  </si>
  <si>
    <t>1.主桁の断面から決まる重量に対する補剛材，添接板の比</t>
  </si>
  <si>
    <t>2.横桁，対傾構，部材に対するガゼット等の重量比</t>
  </si>
  <si>
    <t>3.下横構に対するガゼットの重量比</t>
  </si>
  <si>
    <t>4.高力ボルトの主部材に対する重量比</t>
  </si>
  <si>
    <t>1.主桁</t>
  </si>
  <si>
    <t>本の重さ</t>
  </si>
  <si>
    <t>hw=√(Mmax/(σca*tw))</t>
  </si>
  <si>
    <t>2.（横桁+端対傾構+中間対傾構）の重さ</t>
  </si>
  <si>
    <t>算定</t>
  </si>
  <si>
    <t>3.下横構の重さ</t>
  </si>
  <si>
    <t>4.主部材全部の重さ</t>
  </si>
  <si>
    <t>鋼重チェック</t>
  </si>
  <si>
    <t>今までの計算より</t>
  </si>
  <si>
    <t>全鋼重</t>
  </si>
  <si>
    <t>実鋼重=全鋼重／（幅員*橋長）</t>
  </si>
  <si>
    <t>ABS((実鋼重-仮定鋼重)/実鋼重)*100</t>
  </si>
  <si>
    <t>M22</t>
  </si>
  <si>
    <t>M22</t>
  </si>
  <si>
    <t>Sd1(支点）</t>
  </si>
  <si>
    <t>活荷重による衝撃</t>
  </si>
  <si>
    <t>衝撃係数　ｉ=</t>
  </si>
  <si>
    <t>（２）中桁</t>
  </si>
  <si>
    <t>m</t>
  </si>
  <si>
    <t>t/m</t>
  </si>
  <si>
    <t>合計曲げモーメント</t>
  </si>
  <si>
    <t>曲げモーメントの計算</t>
  </si>
  <si>
    <t>kg/cm^2</t>
  </si>
  <si>
    <t>下フランジ</t>
  </si>
  <si>
    <t>y(cm)</t>
  </si>
  <si>
    <t>cm^3</t>
  </si>
  <si>
    <t>ht</t>
  </si>
  <si>
    <t>ro</t>
  </si>
  <si>
    <t>r/2</t>
  </si>
  <si>
    <t>ht</t>
  </si>
  <si>
    <t>U=-w/2</t>
  </si>
  <si>
    <t>垂直補剛材は別紙の図に示すように主桁間隔</t>
  </si>
  <si>
    <t>sin</t>
  </si>
  <si>
    <t>支点からの距離(m)</t>
  </si>
  <si>
    <t>danmen</t>
  </si>
  <si>
    <t>Flg 3</t>
  </si>
  <si>
    <t>Web</t>
  </si>
  <si>
    <t>kg*cm</t>
  </si>
  <si>
    <t>kg</t>
  </si>
  <si>
    <t>仮定鋼重</t>
  </si>
  <si>
    <t>フランジ曲げ応力度</t>
  </si>
  <si>
    <t>面積(m^2)</t>
  </si>
  <si>
    <t>本数</t>
  </si>
  <si>
    <t>橋長</t>
  </si>
  <si>
    <t>4.支間</t>
  </si>
  <si>
    <t>幅員</t>
  </si>
  <si>
    <t>%</t>
  </si>
  <si>
    <t>mm</t>
  </si>
  <si>
    <t>よって使用する肉サイズ</t>
  </si>
  <si>
    <t>m^2</t>
  </si>
  <si>
    <t>↑tekkin no kei</t>
  </si>
  <si>
    <t>ひとつの人はこの上↑を修正してください。。</t>
  </si>
  <si>
    <t>重心</t>
  </si>
  <si>
    <t>△abc</t>
  </si>
  <si>
    <t>switch</t>
  </si>
  <si>
    <t>の使用すみサイズは</t>
  </si>
  <si>
    <t>cm^4</t>
  </si>
  <si>
    <t>S</t>
  </si>
  <si>
    <t>道示52</t>
  </si>
  <si>
    <t>mm</t>
  </si>
  <si>
    <t>?</t>
  </si>
  <si>
    <t>*0.75</t>
  </si>
  <si>
    <t>a/h</t>
  </si>
  <si>
    <t>たわみの設計</t>
  </si>
  <si>
    <t>たわみ量の照査</t>
  </si>
  <si>
    <t>主桁の断面二次モーメントは一定でないが計算を</t>
  </si>
  <si>
    <t>簡略するため平均断面二次モーメントを考える。</t>
  </si>
  <si>
    <t>（衝撃を含まない）</t>
  </si>
  <si>
    <t>曲げモーメントの大きい中桁について照査する。</t>
  </si>
  <si>
    <t>荷重強度</t>
  </si>
  <si>
    <t>等分布荷重P1</t>
  </si>
  <si>
    <t>等分布荷重P2</t>
  </si>
  <si>
    <t>たわみ量</t>
  </si>
  <si>
    <t>許容たわみ</t>
  </si>
  <si>
    <t>δ2=5*Pl^4/384EIm</t>
  </si>
  <si>
    <t>δ1=5*Pl^4/384EIm</t>
  </si>
  <si>
    <t>平均断面二次モーメント:Im</t>
  </si>
  <si>
    <t>最大断面二次モーメント:Imax（中桁断面1）</t>
  </si>
  <si>
    <t>合計たわみ量</t>
  </si>
  <si>
    <t>δ=δ1+δ2</t>
  </si>
  <si>
    <t>kg/cm</t>
  </si>
  <si>
    <t>10&lt;l=</t>
  </si>
  <si>
    <t>≦</t>
  </si>
  <si>
    <t>より</t>
  </si>
  <si>
    <t>δa=l/(20000/l)</t>
  </si>
  <si>
    <t>主桁の平均断面二次モーメント</t>
  </si>
  <si>
    <t>各主桁の平均断面二次モーメントを求める</t>
  </si>
  <si>
    <t>より求める。</t>
  </si>
  <si>
    <t>I min</t>
  </si>
  <si>
    <t>I max</t>
  </si>
  <si>
    <t>I meanはブライ比の式</t>
  </si>
  <si>
    <t>ブライ比の平均値方</t>
  </si>
  <si>
    <t>cm^4</t>
  </si>
  <si>
    <t>kg</t>
  </si>
  <si>
    <t>断面3</t>
  </si>
  <si>
    <t>断面2</t>
  </si>
  <si>
    <t>断面1</t>
  </si>
  <si>
    <t>曲げ応力度σ</t>
  </si>
  <si>
    <t>現場継手の設計</t>
  </si>
  <si>
    <t>mのところに設ける。</t>
  </si>
  <si>
    <t>主桁の継手</t>
  </si>
  <si>
    <t>kg*cm</t>
  </si>
  <si>
    <t>外桁</t>
  </si>
  <si>
    <t>支点からの距離</t>
  </si>
  <si>
    <t>x (m)</t>
  </si>
  <si>
    <t>Md1</t>
  </si>
  <si>
    <t>MP2</t>
  </si>
  <si>
    <t>a</t>
  </si>
  <si>
    <t>c=l-a-b</t>
  </si>
  <si>
    <t>MP1</t>
  </si>
  <si>
    <t>Mｉ</t>
  </si>
  <si>
    <t>継手位置のモーメントM</t>
  </si>
  <si>
    <t>tm</t>
  </si>
  <si>
    <t>x (m)</t>
  </si>
  <si>
    <t>Sd1</t>
  </si>
  <si>
    <t>SP2</t>
  </si>
  <si>
    <t>SP1</t>
  </si>
  <si>
    <t>Si</t>
  </si>
  <si>
    <t>合計せん断力</t>
  </si>
  <si>
    <t>継手位置のせん断力S</t>
  </si>
  <si>
    <t>t</t>
  </si>
  <si>
    <t>断面1</t>
  </si>
  <si>
    <t>フランジ寸法</t>
  </si>
  <si>
    <t>*</t>
  </si>
  <si>
    <t>断面係数w</t>
  </si>
  <si>
    <t>cm^3</t>
  </si>
  <si>
    <t>断面積Ag</t>
  </si>
  <si>
    <t>cm^2</t>
  </si>
  <si>
    <t>継手位置の曲げ応力度σc</t>
  </si>
  <si>
    <t>kg/cm^2</t>
  </si>
  <si>
    <t>0.75σca</t>
  </si>
  <si>
    <t>で設計する。</t>
  </si>
  <si>
    <t>余り</t>
  </si>
  <si>
    <t>本使用</t>
  </si>
  <si>
    <t>座標値</t>
  </si>
  <si>
    <t>現場継手の位置は外桁及び中桁とも別紙の図に示すように支点から</t>
  </si>
  <si>
    <t>腹板の添接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</si>
</sst>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
    <numFmt numFmtId="178" formatCode="0.0000"/>
    <numFmt numFmtId="179" formatCode="0.000"/>
    <numFmt numFmtId="180" formatCode="0.000_);[Red]\(0.000\)"/>
    <numFmt numFmtId="181" formatCode="0.00_);[Red]\(0.00\)"/>
    <numFmt numFmtId="182" formatCode="0.000000000"/>
    <numFmt numFmtId="183" formatCode="0.00000000"/>
    <numFmt numFmtId="184" formatCode="0.0000000"/>
    <numFmt numFmtId="185" formatCode="0.000000"/>
    <numFmt numFmtId="186" formatCode="0_ "/>
    <numFmt numFmtId="187" formatCode="0.000E+00"/>
  </numFmts>
  <fonts count="41">
    <font>
      <sz val="11"/>
      <name val="ＭＳ Ｐゴシック"/>
      <family val="3"/>
    </font>
    <font>
      <sz val="6"/>
      <name val="ＭＳ Ｐゴシック"/>
      <family val="3"/>
    </font>
    <font>
      <sz val="10"/>
      <name val="ＭＳ Ｐゴシック"/>
      <family val="3"/>
    </font>
    <font>
      <u val="single"/>
      <sz val="8.25"/>
      <color indexed="12"/>
      <name val="ＭＳ Ｐゴシック"/>
      <family val="3"/>
    </font>
    <font>
      <u val="single"/>
      <sz val="8.25"/>
      <color indexed="36"/>
      <name val="ＭＳ Ｐゴシック"/>
      <family val="3"/>
    </font>
    <font>
      <sz val="10"/>
      <color indexed="23"/>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13"/>
        <bgColor indexed="64"/>
      </patternFill>
    </fill>
    <fill>
      <patternFill patternType="solid">
        <fgColor indexed="22"/>
        <bgColor indexed="64"/>
      </patternFill>
    </fill>
    <fill>
      <patternFill patternType="solid">
        <fgColor indexed="23"/>
        <bgColor indexed="64"/>
      </patternFill>
    </fill>
    <fill>
      <patternFill patternType="solid">
        <fgColor indexed="58"/>
        <bgColor indexed="64"/>
      </patternFill>
    </fill>
    <fill>
      <patternFill patternType="solid">
        <fgColor indexed="54"/>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 fillId="0" borderId="0" applyNumberFormat="0" applyFill="0" applyBorder="0" applyAlignment="0" applyProtection="0"/>
    <xf numFmtId="0" fontId="40" fillId="32" borderId="0" applyNumberFormat="0" applyBorder="0" applyAlignment="0" applyProtection="0"/>
  </cellStyleXfs>
  <cellXfs count="73">
    <xf numFmtId="0" fontId="0" fillId="0" borderId="0" xfId="0" applyAlignment="1">
      <alignment/>
    </xf>
    <xf numFmtId="0" fontId="0" fillId="0" borderId="0" xfId="0" applyAlignment="1">
      <alignment horizontal="center"/>
    </xf>
    <xf numFmtId="0" fontId="2" fillId="0" borderId="0" xfId="0" applyFont="1" applyAlignment="1">
      <alignment/>
    </xf>
    <xf numFmtId="0" fontId="2" fillId="33" borderId="0" xfId="0" applyFont="1" applyFill="1" applyAlignment="1">
      <alignment/>
    </xf>
    <xf numFmtId="0" fontId="2" fillId="0" borderId="0" xfId="0" applyFont="1" applyAlignment="1">
      <alignment horizontal="right"/>
    </xf>
    <xf numFmtId="0" fontId="2" fillId="0" borderId="0" xfId="0" applyFont="1" applyAlignment="1">
      <alignment horizontal="center"/>
    </xf>
    <xf numFmtId="179" fontId="2" fillId="0" borderId="0" xfId="0" applyNumberFormat="1" applyFont="1" applyAlignment="1">
      <alignment/>
    </xf>
    <xf numFmtId="180" fontId="2" fillId="0" borderId="0" xfId="0" applyNumberFormat="1" applyFont="1" applyAlignment="1">
      <alignment/>
    </xf>
    <xf numFmtId="0" fontId="2" fillId="34" borderId="0" xfId="0" applyFont="1" applyFill="1" applyAlignment="1">
      <alignment/>
    </xf>
    <xf numFmtId="0" fontId="2" fillId="35" borderId="0" xfId="0" applyFont="1" applyFill="1" applyAlignment="1">
      <alignment/>
    </xf>
    <xf numFmtId="0" fontId="2" fillId="0" borderId="0" xfId="0" applyFont="1" applyFill="1" applyAlignment="1">
      <alignment/>
    </xf>
    <xf numFmtId="0" fontId="2" fillId="0" borderId="0" xfId="0" applyFont="1" applyFill="1" applyAlignment="1">
      <alignment horizontal="center"/>
    </xf>
    <xf numFmtId="0" fontId="2" fillId="36" borderId="0" xfId="0" applyFont="1" applyFill="1" applyAlignment="1">
      <alignment/>
    </xf>
    <xf numFmtId="1" fontId="2" fillId="0" borderId="0" xfId="0" applyNumberFormat="1" applyFont="1" applyAlignment="1">
      <alignment/>
    </xf>
    <xf numFmtId="0" fontId="2" fillId="0" borderId="0" xfId="0" applyFont="1" applyAlignment="1">
      <alignment wrapText="1"/>
    </xf>
    <xf numFmtId="0" fontId="2" fillId="35" borderId="0" xfId="0" applyNumberFormat="1" applyFont="1" applyFill="1" applyAlignment="1">
      <alignment/>
    </xf>
    <xf numFmtId="2" fontId="2" fillId="34" borderId="0" xfId="0" applyNumberFormat="1" applyFont="1" applyFill="1" applyAlignment="1">
      <alignment/>
    </xf>
    <xf numFmtId="0" fontId="2" fillId="0" borderId="0" xfId="0" applyFont="1" applyAlignment="1">
      <alignment horizontal="left"/>
    </xf>
    <xf numFmtId="0" fontId="2" fillId="37" borderId="0" xfId="0" applyFont="1" applyFill="1" applyAlignment="1">
      <alignment/>
    </xf>
    <xf numFmtId="0" fontId="2" fillId="0" borderId="10" xfId="0" applyFont="1" applyBorder="1" applyAlignment="1">
      <alignment/>
    </xf>
    <xf numFmtId="179" fontId="2" fillId="0" borderId="10" xfId="0" applyNumberFormat="1" applyFont="1" applyBorder="1" applyAlignment="1">
      <alignment/>
    </xf>
    <xf numFmtId="0" fontId="2" fillId="33" borderId="10" xfId="0" applyFont="1" applyFill="1" applyBorder="1" applyAlignment="1">
      <alignment/>
    </xf>
    <xf numFmtId="0" fontId="2" fillId="0" borderId="0" xfId="0" applyFont="1" applyBorder="1" applyAlignment="1">
      <alignment/>
    </xf>
    <xf numFmtId="0" fontId="2" fillId="0" borderId="10" xfId="0" applyFont="1" applyBorder="1" applyAlignment="1">
      <alignment horizontal="center"/>
    </xf>
    <xf numFmtId="0" fontId="2" fillId="34" borderId="10" xfId="0" applyFont="1" applyFill="1" applyBorder="1" applyAlignment="1">
      <alignment/>
    </xf>
    <xf numFmtId="0" fontId="2" fillId="33" borderId="0" xfId="0" applyFont="1" applyFill="1" applyAlignment="1">
      <alignment horizontal="left"/>
    </xf>
    <xf numFmtId="0" fontId="2" fillId="34" borderId="0" xfId="0" applyFont="1" applyFill="1" applyAlignment="1">
      <alignment horizontal="right"/>
    </xf>
    <xf numFmtId="0" fontId="2" fillId="36" borderId="0" xfId="0" applyFont="1" applyFill="1" applyAlignment="1">
      <alignment horizontal="center"/>
    </xf>
    <xf numFmtId="0" fontId="2" fillId="34" borderId="0" xfId="0" applyFont="1" applyFill="1" applyAlignment="1">
      <alignment horizontal="center"/>
    </xf>
    <xf numFmtId="0" fontId="2" fillId="0" borderId="10"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horizontal="center"/>
    </xf>
    <xf numFmtId="0" fontId="2" fillId="36" borderId="10" xfId="0" applyFont="1" applyFill="1" applyBorder="1" applyAlignment="1">
      <alignment/>
    </xf>
    <xf numFmtId="0" fontId="2" fillId="38" borderId="0" xfId="0" applyFont="1" applyFill="1" applyAlignment="1">
      <alignment/>
    </xf>
    <xf numFmtId="0" fontId="2" fillId="35" borderId="0" xfId="0" applyFont="1" applyFill="1" applyAlignment="1">
      <alignment horizontal="center"/>
    </xf>
    <xf numFmtId="0" fontId="2" fillId="0" borderId="0" xfId="0" applyFont="1" applyFill="1" applyAlignment="1">
      <alignment horizontal="right"/>
    </xf>
    <xf numFmtId="2" fontId="2" fillId="0" borderId="0" xfId="0" applyNumberFormat="1" applyFont="1" applyAlignment="1">
      <alignment/>
    </xf>
    <xf numFmtId="179" fontId="2" fillId="33" borderId="0" xfId="0" applyNumberFormat="1" applyFont="1" applyFill="1" applyAlignment="1">
      <alignment/>
    </xf>
    <xf numFmtId="180" fontId="2" fillId="33" borderId="0" xfId="0" applyNumberFormat="1" applyFont="1" applyFill="1" applyAlignment="1">
      <alignment/>
    </xf>
    <xf numFmtId="179" fontId="2" fillId="34" borderId="0" xfId="0" applyNumberFormat="1" applyFont="1" applyFill="1" applyAlignment="1">
      <alignment/>
    </xf>
    <xf numFmtId="180" fontId="2" fillId="34" borderId="0" xfId="0" applyNumberFormat="1" applyFont="1" applyFill="1" applyAlignment="1">
      <alignment/>
    </xf>
    <xf numFmtId="2" fontId="2" fillId="33" borderId="0" xfId="0" applyNumberFormat="1" applyFont="1" applyFill="1" applyAlignment="1">
      <alignment/>
    </xf>
    <xf numFmtId="2" fontId="2" fillId="39" borderId="0" xfId="0" applyNumberFormat="1" applyFont="1" applyFill="1" applyAlignment="1">
      <alignment/>
    </xf>
    <xf numFmtId="179" fontId="2" fillId="39" borderId="0" xfId="0" applyNumberFormat="1" applyFont="1" applyFill="1" applyAlignment="1">
      <alignment/>
    </xf>
    <xf numFmtId="180" fontId="2" fillId="39" borderId="0" xfId="0" applyNumberFormat="1" applyFont="1" applyFill="1" applyAlignment="1">
      <alignment/>
    </xf>
    <xf numFmtId="2" fontId="2" fillId="0" borderId="0" xfId="0" applyNumberFormat="1" applyFont="1" applyFill="1" applyAlignment="1">
      <alignment/>
    </xf>
    <xf numFmtId="179" fontId="2" fillId="0" borderId="0" xfId="0" applyNumberFormat="1" applyFont="1" applyFill="1" applyAlignment="1">
      <alignment/>
    </xf>
    <xf numFmtId="180" fontId="2" fillId="0" borderId="0" xfId="0" applyNumberFormat="1" applyFont="1" applyFill="1" applyAlignment="1">
      <alignment/>
    </xf>
    <xf numFmtId="0" fontId="2" fillId="0" borderId="0" xfId="0" applyFont="1" applyFill="1" applyBorder="1" applyAlignment="1">
      <alignment horizontal="centerContinuous"/>
    </xf>
    <xf numFmtId="0" fontId="2" fillId="0" borderId="0" xfId="0" applyFont="1" applyFill="1" applyBorder="1" applyAlignment="1">
      <alignment/>
    </xf>
    <xf numFmtId="0" fontId="2" fillId="0" borderId="0" xfId="0" applyFont="1" applyFill="1" applyBorder="1" applyAlignment="1">
      <alignment horizontal="center"/>
    </xf>
    <xf numFmtId="0" fontId="0" fillId="0" borderId="0" xfId="0" applyFill="1" applyAlignment="1">
      <alignment/>
    </xf>
    <xf numFmtId="186" fontId="0" fillId="0" borderId="0" xfId="0" applyNumberFormat="1" applyFill="1" applyAlignment="1">
      <alignment/>
    </xf>
    <xf numFmtId="0" fontId="2" fillId="40" borderId="10" xfId="0" applyFont="1" applyFill="1" applyBorder="1" applyAlignment="1">
      <alignment/>
    </xf>
    <xf numFmtId="0" fontId="2" fillId="40" borderId="10" xfId="0" applyFont="1" applyFill="1" applyBorder="1" applyAlignment="1">
      <alignment horizontal="center"/>
    </xf>
    <xf numFmtId="0" fontId="2" fillId="34" borderId="10" xfId="0" applyFont="1" applyFill="1" applyBorder="1" applyAlignment="1">
      <alignment horizontal="center"/>
    </xf>
    <xf numFmtId="1" fontId="2" fillId="0" borderId="10" xfId="0" applyNumberFormat="1" applyFont="1" applyBorder="1" applyAlignment="1">
      <alignment/>
    </xf>
    <xf numFmtId="0" fontId="2" fillId="35" borderId="0" xfId="0" applyFont="1" applyFill="1" applyAlignment="1">
      <alignment horizontal="left"/>
    </xf>
    <xf numFmtId="0" fontId="2" fillId="41" borderId="0" xfId="0" applyFont="1" applyFill="1" applyAlignment="1">
      <alignment/>
    </xf>
    <xf numFmtId="11" fontId="2" fillId="0" borderId="0" xfId="0" applyNumberFormat="1" applyFont="1" applyAlignment="1">
      <alignment/>
    </xf>
    <xf numFmtId="179" fontId="0" fillId="0" borderId="0" xfId="0" applyNumberFormat="1" applyAlignment="1">
      <alignment/>
    </xf>
    <xf numFmtId="0" fontId="2" fillId="37" borderId="0" xfId="0" applyFont="1" applyFill="1" applyAlignment="1">
      <alignment horizontal="right"/>
    </xf>
    <xf numFmtId="0" fontId="5" fillId="42" borderId="0" xfId="0" applyFont="1" applyFill="1" applyAlignment="1">
      <alignment/>
    </xf>
    <xf numFmtId="179" fontId="2" fillId="36" borderId="0" xfId="0" applyNumberFormat="1" applyFont="1" applyFill="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left"/>
      <protection locked="0"/>
    </xf>
    <xf numFmtId="0" fontId="2" fillId="0" borderId="0" xfId="0" applyFont="1" applyAlignment="1" applyProtection="1">
      <alignment/>
      <protection locked="0"/>
    </xf>
    <xf numFmtId="0" fontId="2" fillId="36" borderId="0" xfId="0" applyFont="1" applyFill="1" applyAlignment="1" applyProtection="1">
      <alignment/>
      <protection locked="0"/>
    </xf>
    <xf numFmtId="0" fontId="2" fillId="0" borderId="0" xfId="0" applyFont="1" applyAlignment="1" applyProtection="1">
      <alignment horizontal="center"/>
      <protection locked="0"/>
    </xf>
    <xf numFmtId="0" fontId="2" fillId="33" borderId="10" xfId="0" applyFont="1" applyFill="1" applyBorder="1" applyAlignment="1" applyProtection="1">
      <alignment/>
      <protection locked="0"/>
    </xf>
    <xf numFmtId="0" fontId="2" fillId="33" borderId="0" xfId="0" applyFont="1" applyFill="1" applyBorder="1" applyAlignment="1" applyProtection="1">
      <alignment/>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chartsheet" Target="chartsheets/sheet1.xml" /><Relationship Id="rId17" Type="http://schemas.openxmlformats.org/officeDocument/2006/relationships/chartsheet" Target="chartsheets/sheet2.xml" /><Relationship Id="rId18" Type="http://schemas.openxmlformats.org/officeDocument/2006/relationships/chartsheet" Target="chartsheets/sheet3.xml" /><Relationship Id="rId19" Type="http://schemas.openxmlformats.org/officeDocument/2006/relationships/chartsheet" Target="chartsheets/sheet4.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外桁の曲げモーメント図</a:t>
            </a:r>
          </a:p>
        </c:rich>
      </c:tx>
      <c:layout>
        <c:manualLayout>
          <c:xMode val="factor"/>
          <c:yMode val="factor"/>
          <c:x val="0"/>
          <c:y val="0"/>
        </c:manualLayout>
      </c:layout>
      <c:spPr>
        <a:noFill/>
        <a:ln>
          <a:noFill/>
        </a:ln>
      </c:spPr>
    </c:title>
    <c:plotArea>
      <c:layout>
        <c:manualLayout>
          <c:xMode val="edge"/>
          <c:yMode val="edge"/>
          <c:x val="0.034"/>
          <c:y val="0.13375"/>
          <c:w val="0.9555"/>
          <c:h val="0.8495"/>
        </c:manualLayout>
      </c:layout>
      <c:scatterChart>
        <c:scatterStyle val="line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'ms date'!$B$21:$B$88</c:f>
              <c:numCache>
                <c:ptCount val="68"/>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pt idx="17">
                  <c:v>4.125</c:v>
                </c:pt>
                <c:pt idx="18">
                  <c:v>4.25</c:v>
                </c:pt>
                <c:pt idx="19">
                  <c:v>4.5</c:v>
                </c:pt>
                <c:pt idx="20">
                  <c:v>4.75</c:v>
                </c:pt>
                <c:pt idx="21">
                  <c:v>5</c:v>
                </c:pt>
                <c:pt idx="22">
                  <c:v>5.25</c:v>
                </c:pt>
                <c:pt idx="23">
                  <c:v>5.5</c:v>
                </c:pt>
                <c:pt idx="24">
                  <c:v>5.75</c:v>
                </c:pt>
                <c:pt idx="25">
                  <c:v>6</c:v>
                </c:pt>
                <c:pt idx="26">
                  <c:v>6.25</c:v>
                </c:pt>
                <c:pt idx="27">
                  <c:v>6.5</c:v>
                </c:pt>
                <c:pt idx="28">
                  <c:v>6.75</c:v>
                </c:pt>
                <c:pt idx="29">
                  <c:v>7</c:v>
                </c:pt>
                <c:pt idx="30">
                  <c:v>7.25</c:v>
                </c:pt>
                <c:pt idx="31">
                  <c:v>7.5</c:v>
                </c:pt>
                <c:pt idx="32">
                  <c:v>7.75</c:v>
                </c:pt>
                <c:pt idx="33">
                  <c:v>8</c:v>
                </c:pt>
                <c:pt idx="34">
                  <c:v>8.25</c:v>
                </c:pt>
                <c:pt idx="35">
                  <c:v>8.5</c:v>
                </c:pt>
                <c:pt idx="36">
                  <c:v>8.75</c:v>
                </c:pt>
                <c:pt idx="37">
                  <c:v>9</c:v>
                </c:pt>
                <c:pt idx="38">
                  <c:v>9.25</c:v>
                </c:pt>
                <c:pt idx="39">
                  <c:v>9.5</c:v>
                </c:pt>
                <c:pt idx="40">
                  <c:v>9.75</c:v>
                </c:pt>
                <c:pt idx="41">
                  <c:v>10</c:v>
                </c:pt>
                <c:pt idx="42">
                  <c:v>10.25</c:v>
                </c:pt>
                <c:pt idx="43">
                  <c:v>10.5</c:v>
                </c:pt>
                <c:pt idx="44">
                  <c:v>10.75</c:v>
                </c:pt>
                <c:pt idx="45">
                  <c:v>11</c:v>
                </c:pt>
                <c:pt idx="46">
                  <c:v>11.25</c:v>
                </c:pt>
                <c:pt idx="47">
                  <c:v>11.5</c:v>
                </c:pt>
                <c:pt idx="48">
                  <c:v>11.75</c:v>
                </c:pt>
                <c:pt idx="49">
                  <c:v>12</c:v>
                </c:pt>
                <c:pt idx="50">
                  <c:v>12.25</c:v>
                </c:pt>
                <c:pt idx="51">
                  <c:v>12.5</c:v>
                </c:pt>
                <c:pt idx="52">
                  <c:v>12.75</c:v>
                </c:pt>
                <c:pt idx="53">
                  <c:v>13</c:v>
                </c:pt>
                <c:pt idx="54">
                  <c:v>13.25</c:v>
                </c:pt>
                <c:pt idx="55">
                  <c:v>13.5</c:v>
                </c:pt>
                <c:pt idx="56">
                  <c:v>13.75</c:v>
                </c:pt>
                <c:pt idx="57">
                  <c:v>14</c:v>
                </c:pt>
                <c:pt idx="58">
                  <c:v>14.25</c:v>
                </c:pt>
                <c:pt idx="59">
                  <c:v>14.5</c:v>
                </c:pt>
                <c:pt idx="60">
                  <c:v>14.75</c:v>
                </c:pt>
                <c:pt idx="61">
                  <c:v>15</c:v>
                </c:pt>
                <c:pt idx="62">
                  <c:v>15.25</c:v>
                </c:pt>
                <c:pt idx="63">
                  <c:v>15.5</c:v>
                </c:pt>
                <c:pt idx="64">
                  <c:v>15.75</c:v>
                </c:pt>
                <c:pt idx="65">
                  <c:v>16</c:v>
                </c:pt>
                <c:pt idx="66">
                  <c:v>16.25</c:v>
                </c:pt>
                <c:pt idx="67">
                  <c:v>16.5</c:v>
                </c:pt>
              </c:numCache>
            </c:numRef>
          </c:xVal>
          <c:yVal>
            <c:numRef>
              <c:f>'ms date'!$I$21:$I$88</c:f>
              <c:numCache>
                <c:ptCount val="68"/>
                <c:pt idx="0">
                  <c:v>0</c:v>
                </c:pt>
                <c:pt idx="1">
                  <c:v>15.196</c:v>
                </c:pt>
                <c:pt idx="2">
                  <c:v>30.161</c:v>
                </c:pt>
                <c:pt idx="3">
                  <c:v>44.891999999999996</c:v>
                </c:pt>
                <c:pt idx="4">
                  <c:v>59.39300000000001</c:v>
                </c:pt>
                <c:pt idx="5">
                  <c:v>73.66199999999999</c:v>
                </c:pt>
                <c:pt idx="6">
                  <c:v>87.69800000000001</c:v>
                </c:pt>
                <c:pt idx="7">
                  <c:v>101.503</c:v>
                </c:pt>
                <c:pt idx="8">
                  <c:v>115.07400000000001</c:v>
                </c:pt>
                <c:pt idx="9">
                  <c:v>128.415</c:v>
                </c:pt>
                <c:pt idx="10">
                  <c:v>141.52200000000002</c:v>
                </c:pt>
                <c:pt idx="11">
                  <c:v>154.39900000000003</c:v>
                </c:pt>
                <c:pt idx="12">
                  <c:v>167.043</c:v>
                </c:pt>
                <c:pt idx="13">
                  <c:v>179.45600000000002</c:v>
                </c:pt>
                <c:pt idx="14">
                  <c:v>191.63600000000002</c:v>
                </c:pt>
                <c:pt idx="15">
                  <c:v>203.585</c:v>
                </c:pt>
                <c:pt idx="16">
                  <c:v>215.3</c:v>
                </c:pt>
                <c:pt idx="17">
                  <c:v>221.07099999999997</c:v>
                </c:pt>
                <c:pt idx="18">
                  <c:v>226.784</c:v>
                </c:pt>
                <c:pt idx="19">
                  <c:v>238.037</c:v>
                </c:pt>
                <c:pt idx="20">
                  <c:v>249.056</c:v>
                </c:pt>
                <c:pt idx="21">
                  <c:v>259.845</c:v>
                </c:pt>
                <c:pt idx="22">
                  <c:v>270.401</c:v>
                </c:pt>
                <c:pt idx="23">
                  <c:v>280.725</c:v>
                </c:pt>
                <c:pt idx="24">
                  <c:v>290.819</c:v>
                </c:pt>
                <c:pt idx="25">
                  <c:v>300.678</c:v>
                </c:pt>
                <c:pt idx="26">
                  <c:v>310.306</c:v>
                </c:pt>
                <c:pt idx="27">
                  <c:v>319.702</c:v>
                </c:pt>
                <c:pt idx="28">
                  <c:v>328.86599999999993</c:v>
                </c:pt>
                <c:pt idx="29">
                  <c:v>337.798</c:v>
                </c:pt>
                <c:pt idx="30">
                  <c:v>346.499</c:v>
                </c:pt>
                <c:pt idx="31">
                  <c:v>354.96700000000004</c:v>
                </c:pt>
                <c:pt idx="32">
                  <c:v>363.20300000000003</c:v>
                </c:pt>
                <c:pt idx="33">
                  <c:v>371.207</c:v>
                </c:pt>
                <c:pt idx="34">
                  <c:v>378.979</c:v>
                </c:pt>
                <c:pt idx="35">
                  <c:v>386.519</c:v>
                </c:pt>
                <c:pt idx="36">
                  <c:v>393.826</c:v>
                </c:pt>
                <c:pt idx="37">
                  <c:v>400.903</c:v>
                </c:pt>
                <c:pt idx="38">
                  <c:v>407.74699999999996</c:v>
                </c:pt>
                <c:pt idx="39">
                  <c:v>414.36</c:v>
                </c:pt>
                <c:pt idx="40">
                  <c:v>420.741</c:v>
                </c:pt>
                <c:pt idx="41">
                  <c:v>426.887</c:v>
                </c:pt>
                <c:pt idx="42">
                  <c:v>432.80400000000003</c:v>
                </c:pt>
                <c:pt idx="43">
                  <c:v>438.488</c:v>
                </c:pt>
                <c:pt idx="44">
                  <c:v>443.93899999999996</c:v>
                </c:pt>
                <c:pt idx="45">
                  <c:v>449.16</c:v>
                </c:pt>
                <c:pt idx="46">
                  <c:v>454.148</c:v>
                </c:pt>
                <c:pt idx="47">
                  <c:v>458.904</c:v>
                </c:pt>
                <c:pt idx="48">
                  <c:v>463.429</c:v>
                </c:pt>
                <c:pt idx="49">
                  <c:v>467.72</c:v>
                </c:pt>
                <c:pt idx="50">
                  <c:v>471.77899999999994</c:v>
                </c:pt>
                <c:pt idx="51">
                  <c:v>475.608</c:v>
                </c:pt>
                <c:pt idx="52">
                  <c:v>479.203</c:v>
                </c:pt>
                <c:pt idx="53">
                  <c:v>482.56800000000004</c:v>
                </c:pt>
                <c:pt idx="54">
                  <c:v>485.69999999999993</c:v>
                </c:pt>
                <c:pt idx="55">
                  <c:v>488.59999999999997</c:v>
                </c:pt>
                <c:pt idx="56">
                  <c:v>491.26899999999995</c:v>
                </c:pt>
                <c:pt idx="57">
                  <c:v>493.704</c:v>
                </c:pt>
                <c:pt idx="58">
                  <c:v>495.908</c:v>
                </c:pt>
                <c:pt idx="59">
                  <c:v>497.87999999999994</c:v>
                </c:pt>
                <c:pt idx="60">
                  <c:v>499.61899999999997</c:v>
                </c:pt>
                <c:pt idx="61">
                  <c:v>501.128</c:v>
                </c:pt>
                <c:pt idx="62">
                  <c:v>502.405</c:v>
                </c:pt>
                <c:pt idx="63">
                  <c:v>503.448</c:v>
                </c:pt>
                <c:pt idx="64">
                  <c:v>504.26</c:v>
                </c:pt>
                <c:pt idx="65">
                  <c:v>504.83899999999994</c:v>
                </c:pt>
                <c:pt idx="66">
                  <c:v>505.18700000000007</c:v>
                </c:pt>
                <c:pt idx="67">
                  <c:v>505.30300000000005</c:v>
                </c:pt>
              </c:numCache>
            </c:numRef>
          </c:y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'ms date'!$B$38</c:f>
              <c:numCache>
                <c:ptCount val="1"/>
                <c:pt idx="0">
                  <c:v>4.125</c:v>
                </c:pt>
              </c:numCache>
            </c:numRef>
          </c:xVal>
          <c:yVal>
            <c:numRef>
              <c:f>'ms date'!$I$38</c:f>
              <c:numCache>
                <c:ptCount val="1"/>
                <c:pt idx="0">
                  <c:v>221.07099999999997</c:v>
                </c:pt>
              </c:numCache>
            </c:numRef>
          </c:y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'ms date'!$B$55</c:f>
              <c:numCache>
                <c:ptCount val="1"/>
                <c:pt idx="0">
                  <c:v>8.25</c:v>
                </c:pt>
              </c:numCache>
            </c:numRef>
          </c:xVal>
          <c:yVal>
            <c:numRef>
              <c:f>'ms date'!$I$55</c:f>
              <c:numCache>
                <c:ptCount val="1"/>
                <c:pt idx="0">
                  <c:v>378.979</c:v>
                </c:pt>
              </c:numCache>
            </c:numRef>
          </c:y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'ms date'!$B$88</c:f>
              <c:numCache>
                <c:ptCount val="1"/>
                <c:pt idx="0">
                  <c:v>16.5</c:v>
                </c:pt>
              </c:numCache>
            </c:numRef>
          </c:xVal>
          <c:yVal>
            <c:numRef>
              <c:f>'ms date'!$I$88</c:f>
              <c:numCache>
                <c:ptCount val="1"/>
                <c:pt idx="0">
                  <c:v>505.30300000000005</c:v>
                </c:pt>
              </c:numCache>
            </c:numRef>
          </c:y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'ms date'!$B$44</c:f>
              <c:numCache>
                <c:ptCount val="1"/>
                <c:pt idx="0">
                  <c:v>5.5</c:v>
                </c:pt>
              </c:numCache>
            </c:numRef>
          </c:xVal>
          <c:yVal>
            <c:numRef>
              <c:f>'ms date'!$I$44</c:f>
              <c:numCache>
                <c:ptCount val="1"/>
                <c:pt idx="0">
                  <c:v>280.725</c:v>
                </c:pt>
              </c:numCache>
            </c:numRef>
          </c:yVal>
          <c:smooth val="0"/>
        </c:ser>
        <c:ser>
          <c:idx val="5"/>
          <c:order val="5"/>
          <c:tx>
            <c:strRef>
              <c:f>'ms date'!$G$5</c:f>
              <c:strCache>
                <c:ptCount val="1"/>
                <c:pt idx="0">
                  <c:v>断面3</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dLbls>
            <c:dLbl>
              <c:idx val="1"/>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'ms date'!$G$6:$G$7</c:f>
              <c:numCache>
                <c:ptCount val="2"/>
                <c:pt idx="0">
                  <c:v>0</c:v>
                </c:pt>
                <c:pt idx="1">
                  <c:v>4.125</c:v>
                </c:pt>
              </c:numCache>
            </c:numRef>
          </c:xVal>
          <c:yVal>
            <c:numRef>
              <c:f>'ms date'!$G$8:$G$9</c:f>
              <c:numCache>
                <c:ptCount val="2"/>
                <c:pt idx="0">
                  <c:v>419.902</c:v>
                </c:pt>
                <c:pt idx="1">
                  <c:v>419.902</c:v>
                </c:pt>
              </c:numCache>
            </c:numRef>
          </c:yVal>
          <c:smooth val="0"/>
        </c:ser>
        <c:ser>
          <c:idx val="6"/>
          <c:order val="6"/>
          <c:tx>
            <c:strRef>
              <c:f>'ms date'!$H$5</c:f>
              <c:strCache>
                <c:ptCount val="1"/>
                <c:pt idx="0">
                  <c:v>断面2</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dLbls>
            <c:dLbl>
              <c:idx val="1"/>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'ms date'!$H$6:$H$7</c:f>
              <c:numCache>
                <c:ptCount val="2"/>
                <c:pt idx="0">
                  <c:v>4.125</c:v>
                </c:pt>
                <c:pt idx="1">
                  <c:v>8.25</c:v>
                </c:pt>
              </c:numCache>
            </c:numRef>
          </c:xVal>
          <c:yVal>
            <c:numRef>
              <c:f>'ms date'!$H$8:$H$9</c:f>
              <c:numCache>
                <c:ptCount val="2"/>
                <c:pt idx="0">
                  <c:v>552.986</c:v>
                </c:pt>
                <c:pt idx="1">
                  <c:v>552.986</c:v>
                </c:pt>
              </c:numCache>
            </c:numRef>
          </c:yVal>
          <c:smooth val="0"/>
        </c:ser>
        <c:ser>
          <c:idx val="7"/>
          <c:order val="7"/>
          <c:tx>
            <c:strRef>
              <c:f>'ms date'!$I$5</c:f>
              <c:strCache>
                <c:ptCount val="1"/>
                <c:pt idx="0">
                  <c:v>断面1</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dLbls>
            <c:dLbl>
              <c:idx val="1"/>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'ms date'!$I$6:$I$7</c:f>
              <c:numCache>
                <c:ptCount val="2"/>
                <c:pt idx="0">
                  <c:v>8.25</c:v>
                </c:pt>
                <c:pt idx="1">
                  <c:v>16.5</c:v>
                </c:pt>
              </c:numCache>
            </c:numRef>
          </c:xVal>
          <c:yVal>
            <c:numRef>
              <c:f>'ms date'!$I$8:$I$9</c:f>
              <c:numCache>
                <c:ptCount val="2"/>
                <c:pt idx="0">
                  <c:v>674.996</c:v>
                </c:pt>
                <c:pt idx="1">
                  <c:v>674.996</c:v>
                </c:pt>
              </c:numCache>
            </c:numRef>
          </c:yVal>
          <c:smooth val="0"/>
        </c:ser>
        <c:ser>
          <c:idx val="8"/>
          <c:order val="8"/>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xVal>
            <c:numRef>
              <c:f>('ms date'!$G$7,'ms date'!$H$6)</c:f>
              <c:numCache>
                <c:ptCount val="2"/>
                <c:pt idx="0">
                  <c:v>4.125</c:v>
                </c:pt>
                <c:pt idx="1">
                  <c:v>4.125</c:v>
                </c:pt>
              </c:numCache>
            </c:numRef>
          </c:xVal>
          <c:yVal>
            <c:numRef>
              <c:f>'ms date'!$G$8:$H$8</c:f>
              <c:numCache>
                <c:ptCount val="2"/>
                <c:pt idx="0">
                  <c:v>419.902</c:v>
                </c:pt>
                <c:pt idx="1">
                  <c:v>552.986</c:v>
                </c:pt>
              </c:numCache>
            </c:numRef>
          </c:yVal>
          <c:smooth val="0"/>
        </c:ser>
        <c:ser>
          <c:idx val="9"/>
          <c:order val="9"/>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FFFF"/>
              </a:solidFill>
              <a:ln>
                <a:solidFill>
                  <a:srgbClr val="CCFFFF"/>
                </a:solidFill>
              </a:ln>
            </c:spPr>
          </c:marker>
          <c:xVal>
            <c:numRef>
              <c:f>('ms date'!$H$7,'ms date'!$I$6)</c:f>
              <c:numCache>
                <c:ptCount val="2"/>
                <c:pt idx="0">
                  <c:v>8.25</c:v>
                </c:pt>
                <c:pt idx="1">
                  <c:v>8.25</c:v>
                </c:pt>
              </c:numCache>
            </c:numRef>
          </c:xVal>
          <c:yVal>
            <c:numRef>
              <c:f>'ms date'!$H$8:$I$8</c:f>
              <c:numCache>
                <c:ptCount val="2"/>
                <c:pt idx="0">
                  <c:v>552.986</c:v>
                </c:pt>
                <c:pt idx="1">
                  <c:v>674.996</c:v>
                </c:pt>
              </c:numCache>
            </c:numRef>
          </c:yVal>
          <c:smooth val="0"/>
        </c:ser>
        <c:axId val="65935582"/>
        <c:axId val="56549327"/>
      </c:scatterChart>
      <c:valAx>
        <c:axId val="65935582"/>
        <c:scaling>
          <c:orientation val="minMax"/>
        </c:scaling>
        <c:axPos val="t"/>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距離</a:t>
                </a:r>
              </a:p>
            </c:rich>
          </c:tx>
          <c:layout>
            <c:manualLayout>
              <c:xMode val="factor"/>
              <c:yMode val="factor"/>
              <c:x val="-0.004"/>
              <c:y val="0.000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6549327"/>
        <c:crosses val="autoZero"/>
        <c:crossBetween val="midCat"/>
        <c:dispUnits/>
      </c:valAx>
      <c:valAx>
        <c:axId val="56549327"/>
        <c:scaling>
          <c:orientation val="maxMin"/>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曲げモーメント</a:t>
                </a:r>
              </a:p>
            </c:rich>
          </c:tx>
          <c:layout>
            <c:manualLayout>
              <c:xMode val="factor"/>
              <c:yMode val="factor"/>
              <c:x val="-0.0125"/>
              <c:y val="-0.000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5935582"/>
        <c:crosses val="autoZero"/>
        <c:crossBetween val="midCat"/>
        <c:dispUnits/>
      </c:valAx>
      <c:spPr>
        <a:solidFill>
          <a:srgbClr val="FFFFFF"/>
        </a:solidFill>
        <a:ln w="12700">
          <a:solidFill>
            <a:srgbClr val="C0C0C0"/>
          </a:solidFill>
        </a:ln>
      </c:spPr>
    </c:plotArea>
    <c:plotVisOnly val="1"/>
    <c:dispBlanksAs val="gap"/>
    <c:showDLblsOverMax val="0"/>
  </c:chart>
  <c:spPr>
    <a:solidFill>
      <a:srgbClr val="FFFFFF"/>
    </a:solidFill>
    <a:ln w="3175">
      <a:solidFill>
        <a:srgbClr val="FFFFFF"/>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中桁曲げモーメント図</a:t>
            </a:r>
          </a:p>
        </c:rich>
      </c:tx>
      <c:layout>
        <c:manualLayout>
          <c:xMode val="factor"/>
          <c:yMode val="factor"/>
          <c:x val="0.001"/>
          <c:y val="0"/>
        </c:manualLayout>
      </c:layout>
      <c:spPr>
        <a:noFill/>
        <a:ln>
          <a:noFill/>
        </a:ln>
      </c:spPr>
    </c:title>
    <c:plotArea>
      <c:layout>
        <c:manualLayout>
          <c:xMode val="edge"/>
          <c:yMode val="edge"/>
          <c:x val="0.034"/>
          <c:y val="0.13375"/>
          <c:w val="0.9555"/>
          <c:h val="0.8495"/>
        </c:manualLayout>
      </c:layout>
      <c:scatterChart>
        <c:scatterStyle val="line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'ms date'!$B$107:$B$174</c:f>
              <c:numCache>
                <c:ptCount val="68"/>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pt idx="17">
                  <c:v>4.125</c:v>
                </c:pt>
                <c:pt idx="18">
                  <c:v>4.25</c:v>
                </c:pt>
                <c:pt idx="19">
                  <c:v>4.5</c:v>
                </c:pt>
                <c:pt idx="20">
                  <c:v>4.75</c:v>
                </c:pt>
                <c:pt idx="21">
                  <c:v>5</c:v>
                </c:pt>
                <c:pt idx="22">
                  <c:v>5.25</c:v>
                </c:pt>
                <c:pt idx="23">
                  <c:v>5.5</c:v>
                </c:pt>
                <c:pt idx="24">
                  <c:v>5.75</c:v>
                </c:pt>
                <c:pt idx="25">
                  <c:v>6</c:v>
                </c:pt>
                <c:pt idx="26">
                  <c:v>6.25</c:v>
                </c:pt>
                <c:pt idx="27">
                  <c:v>6.5</c:v>
                </c:pt>
                <c:pt idx="28">
                  <c:v>6.75</c:v>
                </c:pt>
                <c:pt idx="29">
                  <c:v>7</c:v>
                </c:pt>
                <c:pt idx="30">
                  <c:v>7.25</c:v>
                </c:pt>
                <c:pt idx="31">
                  <c:v>7.5</c:v>
                </c:pt>
                <c:pt idx="32">
                  <c:v>7.75</c:v>
                </c:pt>
                <c:pt idx="33">
                  <c:v>8</c:v>
                </c:pt>
                <c:pt idx="34">
                  <c:v>8.25</c:v>
                </c:pt>
                <c:pt idx="35">
                  <c:v>8.5</c:v>
                </c:pt>
                <c:pt idx="36">
                  <c:v>8.75</c:v>
                </c:pt>
                <c:pt idx="37">
                  <c:v>9</c:v>
                </c:pt>
                <c:pt idx="38">
                  <c:v>9.25</c:v>
                </c:pt>
                <c:pt idx="39">
                  <c:v>9.5</c:v>
                </c:pt>
                <c:pt idx="40">
                  <c:v>9.75</c:v>
                </c:pt>
                <c:pt idx="41">
                  <c:v>10</c:v>
                </c:pt>
                <c:pt idx="42">
                  <c:v>10.25</c:v>
                </c:pt>
                <c:pt idx="43">
                  <c:v>10.5</c:v>
                </c:pt>
                <c:pt idx="44">
                  <c:v>10.75</c:v>
                </c:pt>
                <c:pt idx="45">
                  <c:v>11</c:v>
                </c:pt>
                <c:pt idx="46">
                  <c:v>11.25</c:v>
                </c:pt>
                <c:pt idx="47">
                  <c:v>11.5</c:v>
                </c:pt>
                <c:pt idx="48">
                  <c:v>11.75</c:v>
                </c:pt>
                <c:pt idx="49">
                  <c:v>12</c:v>
                </c:pt>
                <c:pt idx="50">
                  <c:v>12.25</c:v>
                </c:pt>
                <c:pt idx="51">
                  <c:v>12.5</c:v>
                </c:pt>
                <c:pt idx="52">
                  <c:v>12.75</c:v>
                </c:pt>
                <c:pt idx="53">
                  <c:v>13</c:v>
                </c:pt>
                <c:pt idx="54">
                  <c:v>13.25</c:v>
                </c:pt>
                <c:pt idx="55">
                  <c:v>13.5</c:v>
                </c:pt>
                <c:pt idx="56">
                  <c:v>13.75</c:v>
                </c:pt>
                <c:pt idx="57">
                  <c:v>14</c:v>
                </c:pt>
                <c:pt idx="58">
                  <c:v>14.25</c:v>
                </c:pt>
                <c:pt idx="59">
                  <c:v>14.5</c:v>
                </c:pt>
                <c:pt idx="60">
                  <c:v>14.75</c:v>
                </c:pt>
                <c:pt idx="61">
                  <c:v>15</c:v>
                </c:pt>
                <c:pt idx="62">
                  <c:v>15.25</c:v>
                </c:pt>
                <c:pt idx="63">
                  <c:v>15.5</c:v>
                </c:pt>
                <c:pt idx="64">
                  <c:v>15.75</c:v>
                </c:pt>
                <c:pt idx="65">
                  <c:v>16</c:v>
                </c:pt>
                <c:pt idx="66">
                  <c:v>16.25</c:v>
                </c:pt>
                <c:pt idx="67">
                  <c:v>16.5</c:v>
                </c:pt>
              </c:numCache>
            </c:numRef>
          </c:xVal>
          <c:yVal>
            <c:numRef>
              <c:f>'ms date'!$I$107:$I$174</c:f>
              <c:numCache>
                <c:ptCount val="68"/>
                <c:pt idx="0">
                  <c:v>0</c:v>
                </c:pt>
                <c:pt idx="1">
                  <c:v>20.093999999999998</c:v>
                </c:pt>
                <c:pt idx="2">
                  <c:v>39.883</c:v>
                </c:pt>
                <c:pt idx="3">
                  <c:v>59.363</c:v>
                </c:pt>
                <c:pt idx="4">
                  <c:v>78.538</c:v>
                </c:pt>
                <c:pt idx="5">
                  <c:v>97.405</c:v>
                </c:pt>
                <c:pt idx="6">
                  <c:v>115.96600000000001</c:v>
                </c:pt>
                <c:pt idx="7">
                  <c:v>134.22</c:v>
                </c:pt>
                <c:pt idx="8">
                  <c:v>152.16700000000003</c:v>
                </c:pt>
                <c:pt idx="9">
                  <c:v>169.807</c:v>
                </c:pt>
                <c:pt idx="10">
                  <c:v>187.14100000000002</c:v>
                </c:pt>
                <c:pt idx="11">
                  <c:v>204.167</c:v>
                </c:pt>
                <c:pt idx="12">
                  <c:v>220.88799999999998</c:v>
                </c:pt>
                <c:pt idx="13">
                  <c:v>237.301</c:v>
                </c:pt>
                <c:pt idx="14">
                  <c:v>253.40699999999998</c:v>
                </c:pt>
                <c:pt idx="15">
                  <c:v>269.20599999999996</c:v>
                </c:pt>
                <c:pt idx="16">
                  <c:v>284.7</c:v>
                </c:pt>
                <c:pt idx="17">
                  <c:v>292.33</c:v>
                </c:pt>
                <c:pt idx="18">
                  <c:v>299.884</c:v>
                </c:pt>
                <c:pt idx="19">
                  <c:v>314.76499999999993</c:v>
                </c:pt>
                <c:pt idx="20">
                  <c:v>329.337</c:v>
                </c:pt>
                <c:pt idx="21">
                  <c:v>343.602</c:v>
                </c:pt>
                <c:pt idx="22">
                  <c:v>357.561</c:v>
                </c:pt>
                <c:pt idx="23">
                  <c:v>371.21299999999997</c:v>
                </c:pt>
                <c:pt idx="24">
                  <c:v>384.55800000000005</c:v>
                </c:pt>
                <c:pt idx="25">
                  <c:v>397.597</c:v>
                </c:pt>
                <c:pt idx="26">
                  <c:v>410.329</c:v>
                </c:pt>
                <c:pt idx="27">
                  <c:v>422.75500000000005</c:v>
                </c:pt>
                <c:pt idx="28">
                  <c:v>434.872</c:v>
                </c:pt>
                <c:pt idx="29">
                  <c:v>446.683</c:v>
                </c:pt>
                <c:pt idx="30">
                  <c:v>458.187</c:v>
                </c:pt>
                <c:pt idx="31">
                  <c:v>469.385</c:v>
                </c:pt>
                <c:pt idx="32">
                  <c:v>480.27500000000003</c:v>
                </c:pt>
                <c:pt idx="33">
                  <c:v>490.86</c:v>
                </c:pt>
                <c:pt idx="34">
                  <c:v>501.137</c:v>
                </c:pt>
                <c:pt idx="35">
                  <c:v>511.108</c:v>
                </c:pt>
                <c:pt idx="36">
                  <c:v>520.7719999999999</c:v>
                </c:pt>
                <c:pt idx="37">
                  <c:v>530.1289999999999</c:v>
                </c:pt>
                <c:pt idx="38">
                  <c:v>539.178</c:v>
                </c:pt>
                <c:pt idx="39">
                  <c:v>547.923</c:v>
                </c:pt>
                <c:pt idx="40">
                  <c:v>556.359</c:v>
                </c:pt>
                <c:pt idx="41">
                  <c:v>564.489</c:v>
                </c:pt>
                <c:pt idx="42">
                  <c:v>572.313</c:v>
                </c:pt>
                <c:pt idx="43">
                  <c:v>579.829</c:v>
                </c:pt>
                <c:pt idx="44">
                  <c:v>587.039</c:v>
                </c:pt>
                <c:pt idx="45">
                  <c:v>593.941</c:v>
                </c:pt>
                <c:pt idx="46">
                  <c:v>600.537</c:v>
                </c:pt>
                <c:pt idx="47">
                  <c:v>606.825</c:v>
                </c:pt>
                <c:pt idx="48">
                  <c:v>612.807</c:v>
                </c:pt>
                <c:pt idx="49">
                  <c:v>618.482</c:v>
                </c:pt>
                <c:pt idx="50">
                  <c:v>623.8520000000001</c:v>
                </c:pt>
                <c:pt idx="51">
                  <c:v>628.914</c:v>
                </c:pt>
                <c:pt idx="52">
                  <c:v>633.669</c:v>
                </c:pt>
                <c:pt idx="53">
                  <c:v>638.1179999999999</c:v>
                </c:pt>
                <c:pt idx="54">
                  <c:v>642.258</c:v>
                </c:pt>
                <c:pt idx="55">
                  <c:v>646.093</c:v>
                </c:pt>
                <c:pt idx="56">
                  <c:v>649.621</c:v>
                </c:pt>
                <c:pt idx="57">
                  <c:v>652.842</c:v>
                </c:pt>
                <c:pt idx="58">
                  <c:v>655.757</c:v>
                </c:pt>
                <c:pt idx="59">
                  <c:v>658.365</c:v>
                </c:pt>
                <c:pt idx="60">
                  <c:v>660.6659999999999</c:v>
                </c:pt>
                <c:pt idx="61">
                  <c:v>662.659</c:v>
                </c:pt>
                <c:pt idx="62">
                  <c:v>664.3470000000001</c:v>
                </c:pt>
                <c:pt idx="63">
                  <c:v>665.727</c:v>
                </c:pt>
                <c:pt idx="64">
                  <c:v>666.801</c:v>
                </c:pt>
                <c:pt idx="65">
                  <c:v>667.567</c:v>
                </c:pt>
                <c:pt idx="66">
                  <c:v>668.027</c:v>
                </c:pt>
                <c:pt idx="67">
                  <c:v>668.1819999999999</c:v>
                </c:pt>
              </c:numCache>
            </c:numRef>
          </c:y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'ms date'!$B$124</c:f>
              <c:numCache>
                <c:ptCount val="1"/>
                <c:pt idx="0">
                  <c:v>4.125</c:v>
                </c:pt>
              </c:numCache>
            </c:numRef>
          </c:xVal>
          <c:yVal>
            <c:numRef>
              <c:f>'ms date'!$I$124</c:f>
              <c:numCache>
                <c:ptCount val="1"/>
                <c:pt idx="0">
                  <c:v>292.33</c:v>
                </c:pt>
              </c:numCache>
            </c:numRef>
          </c:y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'ms date'!$B$141</c:f>
              <c:numCache>
                <c:ptCount val="1"/>
                <c:pt idx="0">
                  <c:v>8.25</c:v>
                </c:pt>
              </c:numCache>
            </c:numRef>
          </c:xVal>
          <c:yVal>
            <c:numRef>
              <c:f>'ms date'!$I$141</c:f>
              <c:numCache>
                <c:ptCount val="1"/>
                <c:pt idx="0">
                  <c:v>501.137</c:v>
                </c:pt>
              </c:numCache>
            </c:numRef>
          </c:y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'ms date'!$B$174</c:f>
              <c:numCache>
                <c:ptCount val="1"/>
                <c:pt idx="0">
                  <c:v>16.5</c:v>
                </c:pt>
              </c:numCache>
            </c:numRef>
          </c:xVal>
          <c:yVal>
            <c:numRef>
              <c:f>'ms date'!$I$174</c:f>
              <c:numCache>
                <c:ptCount val="1"/>
                <c:pt idx="0">
                  <c:v>668.1819999999999</c:v>
                </c:pt>
              </c:numCache>
            </c:numRef>
          </c:y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'ms date'!$B$130</c:f>
              <c:numCache>
                <c:ptCount val="1"/>
                <c:pt idx="0">
                  <c:v>5.5</c:v>
                </c:pt>
              </c:numCache>
            </c:numRef>
          </c:xVal>
          <c:yVal>
            <c:numRef>
              <c:f>'ms date'!$I$130</c:f>
              <c:numCache>
                <c:ptCount val="1"/>
                <c:pt idx="0">
                  <c:v>371.21299999999997</c:v>
                </c:pt>
              </c:numCache>
            </c:numRef>
          </c:yVal>
          <c:smooth val="0"/>
        </c:ser>
        <c:ser>
          <c:idx val="5"/>
          <c:order val="5"/>
          <c:tx>
            <c:strRef>
              <c:f>'ms date'!$G$92</c:f>
              <c:strCache>
                <c:ptCount val="1"/>
                <c:pt idx="0">
                  <c:v>断面3</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dLbls>
            <c:dLbl>
              <c:idx val="1"/>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'ms date'!$G$93:$G$94</c:f>
              <c:numCache>
                <c:ptCount val="2"/>
                <c:pt idx="0">
                  <c:v>0</c:v>
                </c:pt>
                <c:pt idx="1">
                  <c:v>4.125</c:v>
                </c:pt>
              </c:numCache>
            </c:numRef>
          </c:xVal>
          <c:yVal>
            <c:numRef>
              <c:f>'ms date'!$G$95:$G$96</c:f>
              <c:numCache>
                <c:ptCount val="2"/>
                <c:pt idx="0">
                  <c:v>419.902</c:v>
                </c:pt>
                <c:pt idx="1">
                  <c:v>419.902</c:v>
                </c:pt>
              </c:numCache>
            </c:numRef>
          </c:yVal>
          <c:smooth val="0"/>
        </c:ser>
        <c:ser>
          <c:idx val="6"/>
          <c:order val="6"/>
          <c:tx>
            <c:strRef>
              <c:f>'ms date'!$H$92</c:f>
              <c:strCache>
                <c:ptCount val="1"/>
                <c:pt idx="0">
                  <c:v>断面2</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dLbls>
            <c:dLbl>
              <c:idx val="1"/>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'ms date'!$H$93:$H$94</c:f>
              <c:numCache>
                <c:ptCount val="2"/>
                <c:pt idx="0">
                  <c:v>4.125</c:v>
                </c:pt>
                <c:pt idx="1">
                  <c:v>8.25</c:v>
                </c:pt>
              </c:numCache>
            </c:numRef>
          </c:xVal>
          <c:yVal>
            <c:numRef>
              <c:f>'ms date'!$H$95:$H$96</c:f>
              <c:numCache>
                <c:ptCount val="2"/>
                <c:pt idx="0">
                  <c:v>608.44</c:v>
                </c:pt>
                <c:pt idx="1">
                  <c:v>608.44</c:v>
                </c:pt>
              </c:numCache>
            </c:numRef>
          </c:yVal>
          <c:smooth val="0"/>
        </c:ser>
        <c:ser>
          <c:idx val="7"/>
          <c:order val="7"/>
          <c:tx>
            <c:strRef>
              <c:f>'ms date'!$I$92</c:f>
              <c:strCache>
                <c:ptCount val="1"/>
                <c:pt idx="0">
                  <c:v>断面1</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dLbls>
            <c:dLbl>
              <c:idx val="1"/>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'ms date'!$I$93:$I$94</c:f>
              <c:numCache>
                <c:ptCount val="2"/>
                <c:pt idx="0">
                  <c:v>8.25</c:v>
                </c:pt>
                <c:pt idx="1">
                  <c:v>16.5</c:v>
                </c:pt>
              </c:numCache>
            </c:numRef>
          </c:xVal>
          <c:yVal>
            <c:numRef>
              <c:f>'ms date'!$I$95:$I$96</c:f>
              <c:numCache>
                <c:ptCount val="2"/>
                <c:pt idx="0">
                  <c:v>674.996</c:v>
                </c:pt>
                <c:pt idx="1">
                  <c:v>674.996</c:v>
                </c:pt>
              </c:numCache>
            </c:numRef>
          </c:yVal>
          <c:smooth val="0"/>
        </c:ser>
        <c:ser>
          <c:idx val="8"/>
          <c:order val="8"/>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xVal>
            <c:numRef>
              <c:f>('ms date'!$G$94,'ms date'!$H$93)</c:f>
              <c:numCache>
                <c:ptCount val="2"/>
                <c:pt idx="0">
                  <c:v>4.125</c:v>
                </c:pt>
                <c:pt idx="1">
                  <c:v>4.125</c:v>
                </c:pt>
              </c:numCache>
            </c:numRef>
          </c:xVal>
          <c:yVal>
            <c:numRef>
              <c:f>'ms date'!$G$95:$H$95</c:f>
              <c:numCache>
                <c:ptCount val="2"/>
                <c:pt idx="0">
                  <c:v>419.902</c:v>
                </c:pt>
                <c:pt idx="1">
                  <c:v>608.44</c:v>
                </c:pt>
              </c:numCache>
            </c:numRef>
          </c:yVal>
          <c:smooth val="0"/>
        </c:ser>
        <c:ser>
          <c:idx val="9"/>
          <c:order val="9"/>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CCFFFF"/>
                </a:solidFill>
              </a:ln>
            </c:spPr>
          </c:marker>
          <c:xVal>
            <c:numRef>
              <c:f>('ms date'!$H$94,'ms date'!$I$93)</c:f>
              <c:numCache>
                <c:ptCount val="2"/>
                <c:pt idx="0">
                  <c:v>8.25</c:v>
                </c:pt>
                <c:pt idx="1">
                  <c:v>8.25</c:v>
                </c:pt>
              </c:numCache>
            </c:numRef>
          </c:xVal>
          <c:yVal>
            <c:numRef>
              <c:f>'ms date'!$H$95:$I$95</c:f>
              <c:numCache>
                <c:ptCount val="2"/>
                <c:pt idx="0">
                  <c:v>608.44</c:v>
                </c:pt>
                <c:pt idx="1">
                  <c:v>674.996</c:v>
                </c:pt>
              </c:numCache>
            </c:numRef>
          </c:yVal>
          <c:smooth val="0"/>
        </c:ser>
        <c:axId val="39181896"/>
        <c:axId val="17092745"/>
      </c:scatterChart>
      <c:valAx>
        <c:axId val="39181896"/>
        <c:scaling>
          <c:orientation val="minMax"/>
        </c:scaling>
        <c:axPos val="t"/>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距離</a:t>
                </a:r>
              </a:p>
            </c:rich>
          </c:tx>
          <c:layout>
            <c:manualLayout>
              <c:xMode val="factor"/>
              <c:yMode val="factor"/>
              <c:x val="-0.004"/>
              <c:y val="0.000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7092745"/>
        <c:crosses val="autoZero"/>
        <c:crossBetween val="midCat"/>
        <c:dispUnits/>
      </c:valAx>
      <c:valAx>
        <c:axId val="17092745"/>
        <c:scaling>
          <c:orientation val="maxMin"/>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曲げモーメント</a:t>
                </a:r>
              </a:p>
            </c:rich>
          </c:tx>
          <c:layout>
            <c:manualLayout>
              <c:xMode val="factor"/>
              <c:yMode val="factor"/>
              <c:x val="-0.0125"/>
              <c:y val="-0.000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918189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外桁せん断力図</a:t>
            </a:r>
          </a:p>
        </c:rich>
      </c:tx>
      <c:layout>
        <c:manualLayout>
          <c:xMode val="factor"/>
          <c:yMode val="factor"/>
          <c:x val="0.001"/>
          <c:y val="0"/>
        </c:manualLayout>
      </c:layout>
      <c:spPr>
        <a:noFill/>
        <a:ln>
          <a:noFill/>
        </a:ln>
      </c:spPr>
    </c:title>
    <c:plotArea>
      <c:layout>
        <c:manualLayout>
          <c:xMode val="edge"/>
          <c:yMode val="edge"/>
          <c:x val="0.034"/>
          <c:y val="0.09475"/>
          <c:w val="0.87"/>
          <c:h val="0.8495"/>
        </c:manualLayout>
      </c:layout>
      <c:scatterChart>
        <c:scatterStyle val="line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'ms date'!$B$189:$B$256</c:f>
              <c:numCache>
                <c:ptCount val="68"/>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pt idx="17">
                  <c:v>4.125</c:v>
                </c:pt>
                <c:pt idx="18">
                  <c:v>4.25</c:v>
                </c:pt>
                <c:pt idx="19">
                  <c:v>4.5</c:v>
                </c:pt>
                <c:pt idx="20">
                  <c:v>4.75</c:v>
                </c:pt>
                <c:pt idx="21">
                  <c:v>5</c:v>
                </c:pt>
                <c:pt idx="22">
                  <c:v>5.25</c:v>
                </c:pt>
                <c:pt idx="23">
                  <c:v>5.5</c:v>
                </c:pt>
                <c:pt idx="24">
                  <c:v>5.75</c:v>
                </c:pt>
                <c:pt idx="25">
                  <c:v>6</c:v>
                </c:pt>
                <c:pt idx="26">
                  <c:v>6.25</c:v>
                </c:pt>
                <c:pt idx="27">
                  <c:v>6.5</c:v>
                </c:pt>
                <c:pt idx="28">
                  <c:v>6.75</c:v>
                </c:pt>
                <c:pt idx="29">
                  <c:v>7</c:v>
                </c:pt>
                <c:pt idx="30">
                  <c:v>7.25</c:v>
                </c:pt>
                <c:pt idx="31">
                  <c:v>7.5</c:v>
                </c:pt>
                <c:pt idx="32">
                  <c:v>7.75</c:v>
                </c:pt>
                <c:pt idx="33">
                  <c:v>8</c:v>
                </c:pt>
                <c:pt idx="34">
                  <c:v>8.25</c:v>
                </c:pt>
                <c:pt idx="35">
                  <c:v>8.5</c:v>
                </c:pt>
                <c:pt idx="36">
                  <c:v>8.75</c:v>
                </c:pt>
                <c:pt idx="37">
                  <c:v>9</c:v>
                </c:pt>
                <c:pt idx="38">
                  <c:v>9.25</c:v>
                </c:pt>
                <c:pt idx="39">
                  <c:v>9.5</c:v>
                </c:pt>
                <c:pt idx="40">
                  <c:v>9.75</c:v>
                </c:pt>
                <c:pt idx="41">
                  <c:v>10</c:v>
                </c:pt>
                <c:pt idx="42">
                  <c:v>10.25</c:v>
                </c:pt>
                <c:pt idx="43">
                  <c:v>10.5</c:v>
                </c:pt>
                <c:pt idx="44">
                  <c:v>10.75</c:v>
                </c:pt>
                <c:pt idx="45">
                  <c:v>11</c:v>
                </c:pt>
                <c:pt idx="46">
                  <c:v>11.25</c:v>
                </c:pt>
                <c:pt idx="47">
                  <c:v>11.5</c:v>
                </c:pt>
                <c:pt idx="48">
                  <c:v>11.75</c:v>
                </c:pt>
                <c:pt idx="49">
                  <c:v>12</c:v>
                </c:pt>
                <c:pt idx="50">
                  <c:v>12.25</c:v>
                </c:pt>
                <c:pt idx="51">
                  <c:v>12.5</c:v>
                </c:pt>
                <c:pt idx="52">
                  <c:v>12.75</c:v>
                </c:pt>
                <c:pt idx="53">
                  <c:v>13</c:v>
                </c:pt>
                <c:pt idx="54">
                  <c:v>13.25</c:v>
                </c:pt>
                <c:pt idx="55">
                  <c:v>13.5</c:v>
                </c:pt>
                <c:pt idx="56">
                  <c:v>13.75</c:v>
                </c:pt>
                <c:pt idx="57">
                  <c:v>14</c:v>
                </c:pt>
                <c:pt idx="58">
                  <c:v>14.25</c:v>
                </c:pt>
                <c:pt idx="59">
                  <c:v>14.5</c:v>
                </c:pt>
                <c:pt idx="60">
                  <c:v>14.75</c:v>
                </c:pt>
                <c:pt idx="61">
                  <c:v>15</c:v>
                </c:pt>
                <c:pt idx="62">
                  <c:v>15.25</c:v>
                </c:pt>
                <c:pt idx="63">
                  <c:v>15.5</c:v>
                </c:pt>
                <c:pt idx="64">
                  <c:v>15.75</c:v>
                </c:pt>
                <c:pt idx="65">
                  <c:v>16</c:v>
                </c:pt>
                <c:pt idx="66">
                  <c:v>16.25</c:v>
                </c:pt>
                <c:pt idx="67">
                  <c:v>16.5</c:v>
                </c:pt>
              </c:numCache>
            </c:numRef>
          </c:xVal>
          <c:yVal>
            <c:numRef>
              <c:f>'ms date'!$G$189:$G$256</c:f>
              <c:numCache>
                <c:ptCount val="68"/>
                <c:pt idx="0">
                  <c:v>64.468</c:v>
                </c:pt>
                <c:pt idx="1">
                  <c:v>63.611000000000004</c:v>
                </c:pt>
                <c:pt idx="2">
                  <c:v>62.75599999999999</c:v>
                </c:pt>
                <c:pt idx="3">
                  <c:v>61.903999999999996</c:v>
                </c:pt>
                <c:pt idx="4">
                  <c:v>61.05200000000001</c:v>
                </c:pt>
                <c:pt idx="5">
                  <c:v>60.199999999999996</c:v>
                </c:pt>
                <c:pt idx="6">
                  <c:v>59.349999999999994</c:v>
                </c:pt>
                <c:pt idx="7">
                  <c:v>58.501999999999995</c:v>
                </c:pt>
                <c:pt idx="8">
                  <c:v>57.655</c:v>
                </c:pt>
                <c:pt idx="9">
                  <c:v>56.808</c:v>
                </c:pt>
                <c:pt idx="10">
                  <c:v>55.965</c:v>
                </c:pt>
                <c:pt idx="11">
                  <c:v>55.122</c:v>
                </c:pt>
                <c:pt idx="12">
                  <c:v>54.279</c:v>
                </c:pt>
                <c:pt idx="13">
                  <c:v>53.438</c:v>
                </c:pt>
                <c:pt idx="14">
                  <c:v>52.598000000000006</c:v>
                </c:pt>
                <c:pt idx="15">
                  <c:v>51.76</c:v>
                </c:pt>
                <c:pt idx="16">
                  <c:v>50.922000000000004</c:v>
                </c:pt>
                <c:pt idx="17">
                  <c:v>50.504</c:v>
                </c:pt>
                <c:pt idx="18">
                  <c:v>50.087</c:v>
                </c:pt>
                <c:pt idx="19">
                  <c:v>49.252</c:v>
                </c:pt>
                <c:pt idx="20">
                  <c:v>48.419000000000004</c:v>
                </c:pt>
                <c:pt idx="21">
                  <c:v>47.588</c:v>
                </c:pt>
                <c:pt idx="22">
                  <c:v>46.757</c:v>
                </c:pt>
                <c:pt idx="23">
                  <c:v>45.927</c:v>
                </c:pt>
                <c:pt idx="24">
                  <c:v>45.098</c:v>
                </c:pt>
                <c:pt idx="25">
                  <c:v>44.272</c:v>
                </c:pt>
                <c:pt idx="26">
                  <c:v>43.445</c:v>
                </c:pt>
                <c:pt idx="27">
                  <c:v>42.620000000000005</c:v>
                </c:pt>
                <c:pt idx="28">
                  <c:v>41.798</c:v>
                </c:pt>
                <c:pt idx="29">
                  <c:v>40.974999999999994</c:v>
                </c:pt>
                <c:pt idx="30">
                  <c:v>40.153999999999996</c:v>
                </c:pt>
                <c:pt idx="31">
                  <c:v>39.334</c:v>
                </c:pt>
                <c:pt idx="32">
                  <c:v>38.517</c:v>
                </c:pt>
                <c:pt idx="33">
                  <c:v>37.699999999999996</c:v>
                </c:pt>
                <c:pt idx="34">
                  <c:v>36.882999999999996</c:v>
                </c:pt>
                <c:pt idx="35">
                  <c:v>36.071</c:v>
                </c:pt>
                <c:pt idx="36">
                  <c:v>35.257</c:v>
                </c:pt>
                <c:pt idx="37">
                  <c:v>34.444</c:v>
                </c:pt>
                <c:pt idx="38">
                  <c:v>33.633</c:v>
                </c:pt>
                <c:pt idx="39">
                  <c:v>32.824</c:v>
                </c:pt>
                <c:pt idx="40">
                  <c:v>32.017</c:v>
                </c:pt>
                <c:pt idx="41">
                  <c:v>31.208999999999996</c:v>
                </c:pt>
                <c:pt idx="42">
                  <c:v>30.404</c:v>
                </c:pt>
                <c:pt idx="43">
                  <c:v>29.599</c:v>
                </c:pt>
                <c:pt idx="44">
                  <c:v>28.796</c:v>
                </c:pt>
                <c:pt idx="45">
                  <c:v>27.994</c:v>
                </c:pt>
                <c:pt idx="46">
                  <c:v>27.194</c:v>
                </c:pt>
                <c:pt idx="47">
                  <c:v>26.392999999999997</c:v>
                </c:pt>
                <c:pt idx="48">
                  <c:v>25.596</c:v>
                </c:pt>
                <c:pt idx="49">
                  <c:v>24.799</c:v>
                </c:pt>
                <c:pt idx="50">
                  <c:v>24.003</c:v>
                </c:pt>
                <c:pt idx="51">
                  <c:v>23.208000000000002</c:v>
                </c:pt>
                <c:pt idx="52">
                  <c:v>22.415</c:v>
                </c:pt>
                <c:pt idx="53">
                  <c:v>21.624000000000002</c:v>
                </c:pt>
                <c:pt idx="54">
                  <c:v>20.833</c:v>
                </c:pt>
                <c:pt idx="55">
                  <c:v>20.044</c:v>
                </c:pt>
                <c:pt idx="56">
                  <c:v>19.256</c:v>
                </c:pt>
                <c:pt idx="57">
                  <c:v>18.469</c:v>
                </c:pt>
                <c:pt idx="58">
                  <c:v>17.682</c:v>
                </c:pt>
                <c:pt idx="59">
                  <c:v>16.898</c:v>
                </c:pt>
                <c:pt idx="60">
                  <c:v>16.116</c:v>
                </c:pt>
                <c:pt idx="61">
                  <c:v>15.334</c:v>
                </c:pt>
                <c:pt idx="62">
                  <c:v>14.552</c:v>
                </c:pt>
                <c:pt idx="63">
                  <c:v>13.775</c:v>
                </c:pt>
                <c:pt idx="64">
                  <c:v>12.997</c:v>
                </c:pt>
                <c:pt idx="65">
                  <c:v>12.219000000000001</c:v>
                </c:pt>
                <c:pt idx="66">
                  <c:v>11.443000000000001</c:v>
                </c:pt>
                <c:pt idx="67">
                  <c:v>10.67</c:v>
                </c:pt>
              </c:numCache>
            </c:numRef>
          </c:y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Percent val="0"/>
          </c:dLbls>
          <c:xVal>
            <c:numRef>
              <c:f>'ms date'!$B$206</c:f>
              <c:numCache>
                <c:ptCount val="1"/>
                <c:pt idx="0">
                  <c:v>4.125</c:v>
                </c:pt>
              </c:numCache>
            </c:numRef>
          </c:xVal>
          <c:yVal>
            <c:numRef>
              <c:f>'ms date'!$G$206</c:f>
              <c:numCache>
                <c:ptCount val="1"/>
                <c:pt idx="0">
                  <c:v>50.504</c:v>
                </c:pt>
              </c:numCache>
            </c:numRef>
          </c:y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dLbls>
            <c:numFmt formatCode="General" sourceLinked="1"/>
            <c:showLegendKey val="0"/>
            <c:showVal val="1"/>
            <c:showBubbleSize val="0"/>
            <c:showCatName val="0"/>
            <c:showSerName val="0"/>
            <c:showPercent val="0"/>
          </c:dLbls>
          <c:xVal>
            <c:numRef>
              <c:f>'ms date'!$B$223</c:f>
              <c:numCache>
                <c:ptCount val="1"/>
                <c:pt idx="0">
                  <c:v>8.25</c:v>
                </c:pt>
              </c:numCache>
            </c:numRef>
          </c:xVal>
          <c:yVal>
            <c:numRef>
              <c:f>'ms date'!$G$223</c:f>
              <c:numCache>
                <c:ptCount val="1"/>
                <c:pt idx="0">
                  <c:v>36.882999999999996</c:v>
                </c:pt>
              </c:numCache>
            </c:numRef>
          </c:y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dLbls>
            <c:numFmt formatCode="General" sourceLinked="1"/>
            <c:showLegendKey val="0"/>
            <c:showVal val="1"/>
            <c:showBubbleSize val="0"/>
            <c:showCatName val="0"/>
            <c:showSerName val="0"/>
            <c:showPercent val="0"/>
          </c:dLbls>
          <c:xVal>
            <c:numRef>
              <c:f>'ms date'!$B$256</c:f>
              <c:numCache>
                <c:ptCount val="1"/>
                <c:pt idx="0">
                  <c:v>16.5</c:v>
                </c:pt>
              </c:numCache>
            </c:numRef>
          </c:xVal>
          <c:yVal>
            <c:numRef>
              <c:f>'ms date'!$G$256</c:f>
              <c:numCache>
                <c:ptCount val="1"/>
                <c:pt idx="0">
                  <c:v>10.67</c:v>
                </c:pt>
              </c:numCache>
            </c:numRef>
          </c:y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'ms date'!$B$212</c:f>
              <c:numCache>
                <c:ptCount val="1"/>
                <c:pt idx="0">
                  <c:v>5.5</c:v>
                </c:pt>
              </c:numCache>
            </c:numRef>
          </c:xVal>
          <c:yVal>
            <c:numRef>
              <c:f>'ms date'!$G$212</c:f>
              <c:numCache>
                <c:ptCount val="1"/>
                <c:pt idx="0">
                  <c:v>45.927</c:v>
                </c:pt>
              </c:numCache>
            </c:numRef>
          </c:yVal>
          <c:smooth val="0"/>
        </c:ser>
        <c:ser>
          <c:idx val="5"/>
          <c:order val="5"/>
          <c:tx>
            <c:strRef>
              <c:f>'ms date'!$H$177</c:f>
              <c:strCache>
                <c:ptCount val="1"/>
                <c:pt idx="0">
                  <c:v>断面3</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numRef>
              <c:f>('ms date'!$H$179,'ms date'!$I$178)</c:f>
              <c:numCache>
                <c:ptCount val="2"/>
                <c:pt idx="0">
                  <c:v>4.125</c:v>
                </c:pt>
                <c:pt idx="1">
                  <c:v>4.125</c:v>
                </c:pt>
              </c:numCache>
            </c:numRef>
          </c:xVal>
          <c:yVal>
            <c:numRef>
              <c:f>'ms date'!$H$180:$H$181</c:f>
              <c:numCache>
                <c:ptCount val="2"/>
                <c:pt idx="0">
                  <c:v>0</c:v>
                </c:pt>
                <c:pt idx="1">
                  <c:v>50.504</c:v>
                </c:pt>
              </c:numCache>
            </c:numRef>
          </c:yVal>
          <c:smooth val="0"/>
        </c:ser>
        <c:ser>
          <c:idx val="6"/>
          <c:order val="6"/>
          <c:tx>
            <c:strRef>
              <c:f>'ms date'!$I$177</c:f>
              <c:strCache>
                <c:ptCount val="1"/>
                <c:pt idx="0">
                  <c:v>断面2</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xVal>
            <c:numRef>
              <c:f>('ms date'!$I$179,'ms date'!$J$178)</c:f>
              <c:numCache>
                <c:ptCount val="2"/>
                <c:pt idx="0">
                  <c:v>8.25</c:v>
                </c:pt>
                <c:pt idx="1">
                  <c:v>8.25</c:v>
                </c:pt>
              </c:numCache>
            </c:numRef>
          </c:xVal>
          <c:yVal>
            <c:numRef>
              <c:f>'ms date'!$I$180:$I$181</c:f>
              <c:numCache>
                <c:ptCount val="2"/>
                <c:pt idx="0">
                  <c:v>0</c:v>
                </c:pt>
                <c:pt idx="1">
                  <c:v>36.882999999999996</c:v>
                </c:pt>
              </c:numCache>
            </c:numRef>
          </c:yVal>
          <c:smooth val="0"/>
        </c:ser>
        <c:ser>
          <c:idx val="7"/>
          <c:order val="7"/>
          <c:tx>
            <c:strRef>
              <c:f>'ms date'!$J$177</c:f>
              <c:strCache>
                <c:ptCount val="1"/>
                <c:pt idx="0">
                  <c:v>断面1</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xVal>
            <c:numRef>
              <c:f>('ms date'!$J$179,'ms date'!$J$179)</c:f>
              <c:numCache>
                <c:ptCount val="2"/>
                <c:pt idx="0">
                  <c:v>16.5</c:v>
                </c:pt>
                <c:pt idx="1">
                  <c:v>16.5</c:v>
                </c:pt>
              </c:numCache>
            </c:numRef>
          </c:xVal>
          <c:yVal>
            <c:numRef>
              <c:f>'ms date'!$J$180:$J$181</c:f>
              <c:numCache>
                <c:ptCount val="2"/>
                <c:pt idx="0">
                  <c:v>0</c:v>
                </c:pt>
                <c:pt idx="1">
                  <c:v>10.67</c:v>
                </c:pt>
              </c:numCache>
            </c:numRef>
          </c:yVal>
          <c:smooth val="0"/>
        </c:ser>
        <c:axId val="19616978"/>
        <c:axId val="42335075"/>
      </c:scatterChart>
      <c:valAx>
        <c:axId val="19616978"/>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距離</a:t>
                </a:r>
              </a:p>
            </c:rich>
          </c:tx>
          <c:layout>
            <c:manualLayout>
              <c:xMode val="factor"/>
              <c:yMode val="factor"/>
              <c:x val="-0.0045"/>
              <c:y val="0.000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2335075"/>
        <c:crosses val="autoZero"/>
        <c:crossBetween val="midCat"/>
        <c:dispUnits/>
      </c:valAx>
      <c:valAx>
        <c:axId val="42335075"/>
        <c:scaling>
          <c:orientation val="minMax"/>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せん断力</a:t>
                </a:r>
              </a:p>
            </c:rich>
          </c:tx>
          <c:layout>
            <c:manualLayout>
              <c:xMode val="factor"/>
              <c:yMode val="factor"/>
              <c:x val="-0.00975"/>
              <c:y val="-0.001"/>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9616978"/>
        <c:crosses val="autoZero"/>
        <c:crossBetween val="midCat"/>
        <c:dispUnits/>
      </c:valAx>
      <c:spPr>
        <a:solidFill>
          <a:srgbClr val="FFFFFF"/>
        </a:solidFill>
        <a:ln w="12700">
          <a:solidFill>
            <a:srgbClr val="C0C0C0"/>
          </a:solidFill>
        </a:ln>
      </c:spPr>
    </c:plotArea>
    <c:legend>
      <c:legendPos val="r"/>
      <c:layout>
        <c:manualLayout>
          <c:xMode val="edge"/>
          <c:yMode val="edge"/>
          <c:x val="0.9145"/>
          <c:y val="0.366"/>
          <c:w val="0.0815"/>
          <c:h val="0.272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中桁せん断力</a:t>
            </a:r>
          </a:p>
        </c:rich>
      </c:tx>
      <c:layout>
        <c:manualLayout>
          <c:xMode val="factor"/>
          <c:yMode val="factor"/>
          <c:x val="0"/>
          <c:y val="-0.00175"/>
        </c:manualLayout>
      </c:layout>
      <c:spPr>
        <a:noFill/>
        <a:ln>
          <a:noFill/>
        </a:ln>
      </c:spPr>
    </c:title>
    <c:plotArea>
      <c:layout>
        <c:manualLayout>
          <c:xMode val="edge"/>
          <c:yMode val="edge"/>
          <c:x val="0.034"/>
          <c:y val="0.095"/>
          <c:w val="0.87"/>
          <c:h val="0.84925"/>
        </c:manualLayout>
      </c:layout>
      <c:scatterChart>
        <c:scatterStyle val="line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'ms date'!$B$270:$B$337</c:f>
              <c:numCache>
                <c:ptCount val="68"/>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pt idx="17">
                  <c:v>4.125</c:v>
                </c:pt>
                <c:pt idx="18">
                  <c:v>4.25</c:v>
                </c:pt>
                <c:pt idx="19">
                  <c:v>4.5</c:v>
                </c:pt>
                <c:pt idx="20">
                  <c:v>4.75</c:v>
                </c:pt>
                <c:pt idx="21">
                  <c:v>5</c:v>
                </c:pt>
                <c:pt idx="22">
                  <c:v>5.25</c:v>
                </c:pt>
                <c:pt idx="23">
                  <c:v>5.5</c:v>
                </c:pt>
                <c:pt idx="24">
                  <c:v>5.75</c:v>
                </c:pt>
                <c:pt idx="25">
                  <c:v>6</c:v>
                </c:pt>
                <c:pt idx="26">
                  <c:v>6.25</c:v>
                </c:pt>
                <c:pt idx="27">
                  <c:v>6.5</c:v>
                </c:pt>
                <c:pt idx="28">
                  <c:v>6.75</c:v>
                </c:pt>
                <c:pt idx="29">
                  <c:v>7</c:v>
                </c:pt>
                <c:pt idx="30">
                  <c:v>7.25</c:v>
                </c:pt>
                <c:pt idx="31">
                  <c:v>7.5</c:v>
                </c:pt>
                <c:pt idx="32">
                  <c:v>7.75</c:v>
                </c:pt>
                <c:pt idx="33">
                  <c:v>8</c:v>
                </c:pt>
                <c:pt idx="34">
                  <c:v>8.25</c:v>
                </c:pt>
                <c:pt idx="35">
                  <c:v>8.5</c:v>
                </c:pt>
                <c:pt idx="36">
                  <c:v>8.75</c:v>
                </c:pt>
                <c:pt idx="37">
                  <c:v>9</c:v>
                </c:pt>
                <c:pt idx="38">
                  <c:v>9.25</c:v>
                </c:pt>
                <c:pt idx="39">
                  <c:v>9.5</c:v>
                </c:pt>
                <c:pt idx="40">
                  <c:v>9.75</c:v>
                </c:pt>
                <c:pt idx="41">
                  <c:v>10</c:v>
                </c:pt>
                <c:pt idx="42">
                  <c:v>10.25</c:v>
                </c:pt>
                <c:pt idx="43">
                  <c:v>10.5</c:v>
                </c:pt>
                <c:pt idx="44">
                  <c:v>10.75</c:v>
                </c:pt>
                <c:pt idx="45">
                  <c:v>11</c:v>
                </c:pt>
                <c:pt idx="46">
                  <c:v>11.25</c:v>
                </c:pt>
                <c:pt idx="47">
                  <c:v>11.5</c:v>
                </c:pt>
                <c:pt idx="48">
                  <c:v>11.75</c:v>
                </c:pt>
                <c:pt idx="49">
                  <c:v>12</c:v>
                </c:pt>
                <c:pt idx="50">
                  <c:v>12.25</c:v>
                </c:pt>
                <c:pt idx="51">
                  <c:v>12.5</c:v>
                </c:pt>
                <c:pt idx="52">
                  <c:v>12.75</c:v>
                </c:pt>
                <c:pt idx="53">
                  <c:v>13</c:v>
                </c:pt>
                <c:pt idx="54">
                  <c:v>13.25</c:v>
                </c:pt>
                <c:pt idx="55">
                  <c:v>13.5</c:v>
                </c:pt>
                <c:pt idx="56">
                  <c:v>13.75</c:v>
                </c:pt>
                <c:pt idx="57">
                  <c:v>14</c:v>
                </c:pt>
                <c:pt idx="58">
                  <c:v>14.25</c:v>
                </c:pt>
                <c:pt idx="59">
                  <c:v>14.5</c:v>
                </c:pt>
                <c:pt idx="60">
                  <c:v>14.75</c:v>
                </c:pt>
                <c:pt idx="61">
                  <c:v>15</c:v>
                </c:pt>
                <c:pt idx="62">
                  <c:v>15.25</c:v>
                </c:pt>
                <c:pt idx="63">
                  <c:v>15.5</c:v>
                </c:pt>
                <c:pt idx="64">
                  <c:v>15.75</c:v>
                </c:pt>
                <c:pt idx="65">
                  <c:v>16</c:v>
                </c:pt>
                <c:pt idx="66">
                  <c:v>16.25</c:v>
                </c:pt>
                <c:pt idx="67">
                  <c:v>16.5</c:v>
                </c:pt>
              </c:numCache>
            </c:numRef>
          </c:xVal>
          <c:yVal>
            <c:numRef>
              <c:f>'ms date'!$G$270:$G$337</c:f>
              <c:numCache>
                <c:ptCount val="68"/>
                <c:pt idx="0">
                  <c:v>85.846</c:v>
                </c:pt>
                <c:pt idx="1">
                  <c:v>84.72800000000001</c:v>
                </c:pt>
                <c:pt idx="2">
                  <c:v>83.611</c:v>
                </c:pt>
                <c:pt idx="3">
                  <c:v>82.497</c:v>
                </c:pt>
                <c:pt idx="4">
                  <c:v>81.38300000000001</c:v>
                </c:pt>
                <c:pt idx="5">
                  <c:v>80.27199999999999</c:v>
                </c:pt>
                <c:pt idx="6">
                  <c:v>79.163</c:v>
                </c:pt>
                <c:pt idx="7">
                  <c:v>78.056</c:v>
                </c:pt>
                <c:pt idx="8">
                  <c:v>76.94900000000001</c:v>
                </c:pt>
                <c:pt idx="9">
                  <c:v>75.84700000000001</c:v>
                </c:pt>
                <c:pt idx="10">
                  <c:v>74.74499999999999</c:v>
                </c:pt>
                <c:pt idx="11">
                  <c:v>73.646</c:v>
                </c:pt>
                <c:pt idx="12">
                  <c:v>72.54700000000001</c:v>
                </c:pt>
                <c:pt idx="13">
                  <c:v>71.45200000000001</c:v>
                </c:pt>
                <c:pt idx="14">
                  <c:v>70.358</c:v>
                </c:pt>
                <c:pt idx="15">
                  <c:v>69.266</c:v>
                </c:pt>
                <c:pt idx="16">
                  <c:v>68.176</c:v>
                </c:pt>
                <c:pt idx="17">
                  <c:v>67.63</c:v>
                </c:pt>
                <c:pt idx="18">
                  <c:v>67.089</c:v>
                </c:pt>
                <c:pt idx="19">
                  <c:v>66.002</c:v>
                </c:pt>
                <c:pt idx="20">
                  <c:v>64.916</c:v>
                </c:pt>
                <c:pt idx="21">
                  <c:v>63.83299999999999</c:v>
                </c:pt>
                <c:pt idx="22">
                  <c:v>62.753</c:v>
                </c:pt>
                <c:pt idx="23">
                  <c:v>61.674</c:v>
                </c:pt>
                <c:pt idx="24">
                  <c:v>60.598</c:v>
                </c:pt>
                <c:pt idx="25">
                  <c:v>59.522999999999996</c:v>
                </c:pt>
                <c:pt idx="26">
                  <c:v>58.44999999999999</c:v>
                </c:pt>
                <c:pt idx="27">
                  <c:v>57.378</c:v>
                </c:pt>
                <c:pt idx="28">
                  <c:v>56.30899999999999</c:v>
                </c:pt>
                <c:pt idx="29">
                  <c:v>55.242</c:v>
                </c:pt>
                <c:pt idx="30">
                  <c:v>54.176</c:v>
                </c:pt>
                <c:pt idx="31">
                  <c:v>53.111000000000004</c:v>
                </c:pt>
                <c:pt idx="32">
                  <c:v>52.050000000000004</c:v>
                </c:pt>
                <c:pt idx="33">
                  <c:v>50.99</c:v>
                </c:pt>
                <c:pt idx="34">
                  <c:v>49.932</c:v>
                </c:pt>
                <c:pt idx="35">
                  <c:v>48.876</c:v>
                </c:pt>
                <c:pt idx="36">
                  <c:v>47.823</c:v>
                </c:pt>
                <c:pt idx="37">
                  <c:v>46.77</c:v>
                </c:pt>
                <c:pt idx="38">
                  <c:v>45.721</c:v>
                </c:pt>
                <c:pt idx="39">
                  <c:v>44.672</c:v>
                </c:pt>
                <c:pt idx="40">
                  <c:v>43.625</c:v>
                </c:pt>
                <c:pt idx="41">
                  <c:v>42.58</c:v>
                </c:pt>
                <c:pt idx="42">
                  <c:v>41.537</c:v>
                </c:pt>
                <c:pt idx="43">
                  <c:v>40.496</c:v>
                </c:pt>
                <c:pt idx="44">
                  <c:v>39.457</c:v>
                </c:pt>
                <c:pt idx="45">
                  <c:v>38.419000000000004</c:v>
                </c:pt>
                <c:pt idx="46">
                  <c:v>37.385</c:v>
                </c:pt>
                <c:pt idx="47">
                  <c:v>36.351</c:v>
                </c:pt>
                <c:pt idx="48">
                  <c:v>35.321</c:v>
                </c:pt>
                <c:pt idx="49">
                  <c:v>34.291</c:v>
                </c:pt>
                <c:pt idx="50">
                  <c:v>33.263999999999996</c:v>
                </c:pt>
                <c:pt idx="51">
                  <c:v>32.238</c:v>
                </c:pt>
                <c:pt idx="52">
                  <c:v>31.215</c:v>
                </c:pt>
                <c:pt idx="53">
                  <c:v>30.191000000000003</c:v>
                </c:pt>
                <c:pt idx="54">
                  <c:v>29.172</c:v>
                </c:pt>
                <c:pt idx="55">
                  <c:v>28.153</c:v>
                </c:pt>
                <c:pt idx="56">
                  <c:v>27.137</c:v>
                </c:pt>
                <c:pt idx="57">
                  <c:v>26.122</c:v>
                </c:pt>
                <c:pt idx="58">
                  <c:v>25.11</c:v>
                </c:pt>
                <c:pt idx="59">
                  <c:v>24.099</c:v>
                </c:pt>
                <c:pt idx="60">
                  <c:v>23.091</c:v>
                </c:pt>
                <c:pt idx="61">
                  <c:v>22.084</c:v>
                </c:pt>
                <c:pt idx="62">
                  <c:v>21.08</c:v>
                </c:pt>
                <c:pt idx="63">
                  <c:v>20.076</c:v>
                </c:pt>
                <c:pt idx="64">
                  <c:v>19.073999999999998</c:v>
                </c:pt>
                <c:pt idx="65">
                  <c:v>18.075</c:v>
                </c:pt>
                <c:pt idx="66">
                  <c:v>17.078</c:v>
                </c:pt>
                <c:pt idx="67">
                  <c:v>16.083</c:v>
                </c:pt>
              </c:numCache>
            </c:numRef>
          </c:y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Percent val="0"/>
          </c:dLbls>
          <c:xVal>
            <c:numRef>
              <c:f>'ms date'!$B$287</c:f>
              <c:numCache>
                <c:ptCount val="1"/>
                <c:pt idx="0">
                  <c:v>4.125</c:v>
                </c:pt>
              </c:numCache>
            </c:numRef>
          </c:xVal>
          <c:yVal>
            <c:numRef>
              <c:f>'ms date'!$G$287</c:f>
              <c:numCache>
                <c:ptCount val="1"/>
                <c:pt idx="0">
                  <c:v>67.63</c:v>
                </c:pt>
              </c:numCache>
            </c:numRef>
          </c:y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dLbls>
            <c:numFmt formatCode="General" sourceLinked="1"/>
            <c:showLegendKey val="0"/>
            <c:showVal val="1"/>
            <c:showBubbleSize val="0"/>
            <c:showCatName val="0"/>
            <c:showSerName val="0"/>
            <c:showPercent val="0"/>
          </c:dLbls>
          <c:xVal>
            <c:numRef>
              <c:f>'ms date'!$B$304</c:f>
              <c:numCache>
                <c:ptCount val="1"/>
                <c:pt idx="0">
                  <c:v>8.25</c:v>
                </c:pt>
              </c:numCache>
            </c:numRef>
          </c:xVal>
          <c:yVal>
            <c:numRef>
              <c:f>'ms date'!$G$304</c:f>
              <c:numCache>
                <c:ptCount val="1"/>
                <c:pt idx="0">
                  <c:v>49.932</c:v>
                </c:pt>
              </c:numCache>
            </c:numRef>
          </c:y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dLbls>
            <c:numFmt formatCode="General" sourceLinked="1"/>
            <c:showLegendKey val="0"/>
            <c:showVal val="1"/>
            <c:showBubbleSize val="0"/>
            <c:showCatName val="0"/>
            <c:showSerName val="0"/>
            <c:showPercent val="0"/>
          </c:dLbls>
          <c:xVal>
            <c:numRef>
              <c:f>'ms date'!$B$337</c:f>
              <c:numCache>
                <c:ptCount val="1"/>
                <c:pt idx="0">
                  <c:v>16.5</c:v>
                </c:pt>
              </c:numCache>
            </c:numRef>
          </c:xVal>
          <c:yVal>
            <c:numRef>
              <c:f>'ms date'!$G$337</c:f>
              <c:numCache>
                <c:ptCount val="1"/>
                <c:pt idx="0">
                  <c:v>16.083</c:v>
                </c:pt>
              </c:numCache>
            </c:numRef>
          </c:y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'ms date'!$B$293</c:f>
              <c:numCache>
                <c:ptCount val="1"/>
                <c:pt idx="0">
                  <c:v>5.5</c:v>
                </c:pt>
              </c:numCache>
            </c:numRef>
          </c:xVal>
          <c:yVal>
            <c:numRef>
              <c:f>'ms date'!$G$293</c:f>
              <c:numCache>
                <c:ptCount val="1"/>
                <c:pt idx="0">
                  <c:v>61.674</c:v>
                </c:pt>
              </c:numCache>
            </c:numRef>
          </c:yVal>
          <c:smooth val="0"/>
        </c:ser>
        <c:ser>
          <c:idx val="5"/>
          <c:order val="5"/>
          <c:tx>
            <c:strRef>
              <c:f>'ms date'!$H$258</c:f>
              <c:strCache>
                <c:ptCount val="1"/>
                <c:pt idx="0">
                  <c:v>断面3</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numRef>
              <c:f>('ms date'!$H$260,'ms date'!$I$259)</c:f>
              <c:numCache>
                <c:ptCount val="2"/>
                <c:pt idx="0">
                  <c:v>4.125</c:v>
                </c:pt>
                <c:pt idx="1">
                  <c:v>4.125</c:v>
                </c:pt>
              </c:numCache>
            </c:numRef>
          </c:xVal>
          <c:yVal>
            <c:numRef>
              <c:f>'ms date'!$H$261:$H$262</c:f>
              <c:numCache>
                <c:ptCount val="2"/>
                <c:pt idx="0">
                  <c:v>0</c:v>
                </c:pt>
                <c:pt idx="1">
                  <c:v>67.63</c:v>
                </c:pt>
              </c:numCache>
            </c:numRef>
          </c:yVal>
          <c:smooth val="0"/>
        </c:ser>
        <c:ser>
          <c:idx val="6"/>
          <c:order val="6"/>
          <c:tx>
            <c:strRef>
              <c:f>'ms date'!$I$258</c:f>
              <c:strCache>
                <c:ptCount val="1"/>
                <c:pt idx="0">
                  <c:v>断面2</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xVal>
            <c:numRef>
              <c:f>('ms date'!$I$260,'ms date'!$J$259)</c:f>
              <c:numCache>
                <c:ptCount val="2"/>
                <c:pt idx="0">
                  <c:v>8.25</c:v>
                </c:pt>
                <c:pt idx="1">
                  <c:v>8.25</c:v>
                </c:pt>
              </c:numCache>
            </c:numRef>
          </c:xVal>
          <c:yVal>
            <c:numRef>
              <c:f>'ms date'!$I$261:$I$262</c:f>
              <c:numCache>
                <c:ptCount val="2"/>
                <c:pt idx="0">
                  <c:v>0</c:v>
                </c:pt>
                <c:pt idx="1">
                  <c:v>49.932</c:v>
                </c:pt>
              </c:numCache>
            </c:numRef>
          </c:yVal>
          <c:smooth val="0"/>
        </c:ser>
        <c:ser>
          <c:idx val="7"/>
          <c:order val="7"/>
          <c:tx>
            <c:strRef>
              <c:f>'ms date'!$J$258</c:f>
              <c:strCache>
                <c:ptCount val="1"/>
                <c:pt idx="0">
                  <c:v>断面1</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xVal>
            <c:numRef>
              <c:f>('ms date'!$J$260,'ms date'!$J$260)</c:f>
              <c:numCache>
                <c:ptCount val="2"/>
                <c:pt idx="0">
                  <c:v>16.5</c:v>
                </c:pt>
                <c:pt idx="1">
                  <c:v>16.5</c:v>
                </c:pt>
              </c:numCache>
            </c:numRef>
          </c:xVal>
          <c:yVal>
            <c:numRef>
              <c:f>'ms date'!$J$261:$J$262</c:f>
              <c:numCache>
                <c:ptCount val="2"/>
                <c:pt idx="0">
                  <c:v>0</c:v>
                </c:pt>
                <c:pt idx="1">
                  <c:v>16.083</c:v>
                </c:pt>
              </c:numCache>
            </c:numRef>
          </c:yVal>
          <c:smooth val="0"/>
        </c:ser>
        <c:axId val="45471356"/>
        <c:axId val="6589021"/>
      </c:scatterChart>
      <c:valAx>
        <c:axId val="45471356"/>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ｘ（ｍ）</a:t>
                </a:r>
              </a:p>
            </c:rich>
          </c:tx>
          <c:layout>
            <c:manualLayout>
              <c:xMode val="factor"/>
              <c:yMode val="factor"/>
              <c:x val="-0.005"/>
              <c:y val="0.000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589021"/>
        <c:crosses val="autoZero"/>
        <c:crossBetween val="midCat"/>
        <c:dispUnits/>
      </c:valAx>
      <c:valAx>
        <c:axId val="6589021"/>
        <c:scaling>
          <c:orientation val="minMax"/>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せん断力</a:t>
                </a:r>
              </a:p>
            </c:rich>
          </c:tx>
          <c:layout>
            <c:manualLayout>
              <c:xMode val="factor"/>
              <c:yMode val="factor"/>
              <c:x val="-0.01225"/>
              <c:y val="-0.001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5471356"/>
        <c:crosses val="autoZero"/>
        <c:crossBetween val="midCat"/>
        <c:dispUnits/>
      </c:valAx>
      <c:spPr>
        <a:solidFill>
          <a:srgbClr val="FFFFFF"/>
        </a:solidFill>
        <a:ln w="12700">
          <a:solidFill>
            <a:srgbClr val="C0C0C0"/>
          </a:solidFill>
        </a:ln>
      </c:spPr>
    </c:plotArea>
    <c:legend>
      <c:legendPos val="r"/>
      <c:layout>
        <c:manualLayout>
          <c:xMode val="edge"/>
          <c:yMode val="edge"/>
          <c:x val="0.91575"/>
          <c:y val="0.36475"/>
          <c:w val="0.08025"/>
          <c:h val="0.27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グラフ16"/>
  <sheetViews>
    <sheetView workbookViewId="0" zoomScale="76"/>
  </sheetViews>
  <pageMargins left="0.75" right="0.75" top="1" bottom="1" header="0.512" footer="0.512"/>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codeName="グラフ17"/>
  <sheetViews>
    <sheetView workbookViewId="0" zoomScale="76"/>
  </sheetViews>
  <pageMargins left="0.75" right="0.75" top="1" bottom="1" header="0.512" footer="0.512"/>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グラフ18"/>
  <sheetViews>
    <sheetView workbookViewId="0" zoomScale="76"/>
  </sheetViews>
  <pageMargins left="0.75" right="0.75" top="1" bottom="1" header="0.512" footer="0.512"/>
  <pageSetup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Pr codeName="グラフ19"/>
  <sheetViews>
    <sheetView tabSelected="1" workbookViewId="0" zoomScale="76"/>
  </sheetViews>
  <pageMargins left="0.75" right="0.75" top="1" bottom="1" header="0.512" footer="0.512"/>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24975" cy="5715000"/>
    <xdr:graphicFrame>
      <xdr:nvGraphicFramePr>
        <xdr:cNvPr id="1" name="Chart 1"/>
        <xdr:cNvGraphicFramePr/>
      </xdr:nvGraphicFramePr>
      <xdr:xfrm>
        <a:off x="0" y="0"/>
        <a:ext cx="932497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24975" cy="5715000"/>
    <xdr:graphicFrame>
      <xdr:nvGraphicFramePr>
        <xdr:cNvPr id="1" name="Shape 1025"/>
        <xdr:cNvGraphicFramePr/>
      </xdr:nvGraphicFramePr>
      <xdr:xfrm>
        <a:off x="0" y="0"/>
        <a:ext cx="932497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24975" cy="5715000"/>
    <xdr:graphicFrame>
      <xdr:nvGraphicFramePr>
        <xdr:cNvPr id="1" name="Shape 1025"/>
        <xdr:cNvGraphicFramePr/>
      </xdr:nvGraphicFramePr>
      <xdr:xfrm>
        <a:off x="0" y="0"/>
        <a:ext cx="932497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5705475"/>
    <xdr:graphicFrame>
      <xdr:nvGraphicFramePr>
        <xdr:cNvPr id="1" name="Shape 1025"/>
        <xdr:cNvGraphicFramePr/>
      </xdr:nvGraphicFramePr>
      <xdr:xfrm>
        <a:off x="0" y="0"/>
        <a:ext cx="9315450" cy="5705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240"/>
  <sheetViews>
    <sheetView zoomScale="75" zoomScaleNormal="75" zoomScalePageLayoutView="0" workbookViewId="0" topLeftCell="A1">
      <selection activeCell="D183" sqref="D183"/>
    </sheetView>
  </sheetViews>
  <sheetFormatPr defaultColWidth="9.00390625" defaultRowHeight="13.5"/>
  <cols>
    <col min="1" max="1" width="10.00390625" style="2" customWidth="1"/>
    <col min="2" max="2" width="7.50390625" style="2" customWidth="1"/>
    <col min="3" max="4" width="6.50390625" style="2" customWidth="1"/>
    <col min="5" max="5" width="8.50390625" style="2" customWidth="1"/>
    <col min="6" max="6" width="6.75390625" style="2" customWidth="1"/>
    <col min="7" max="7" width="6.875" style="2" customWidth="1"/>
    <col min="8" max="8" width="6.50390625" style="2" customWidth="1"/>
    <col min="9" max="9" width="7.125" style="2" customWidth="1"/>
    <col min="10" max="10" width="4.75390625" style="2" customWidth="1"/>
    <col min="11" max="11" width="5.00390625" style="2" customWidth="1"/>
    <col min="12" max="12" width="3.375" style="2" customWidth="1"/>
    <col min="13" max="16384" width="9.00390625" style="2" customWidth="1"/>
  </cols>
  <sheetData>
    <row r="1" ht="12">
      <c r="A1" s="2" t="s">
        <v>1256</v>
      </c>
    </row>
    <row r="2" ht="12">
      <c r="A2" s="2" t="s">
        <v>38</v>
      </c>
    </row>
    <row r="3" ht="12">
      <c r="A3" s="2" t="s">
        <v>39</v>
      </c>
    </row>
    <row r="4" ht="12">
      <c r="A4" s="2" t="s">
        <v>40</v>
      </c>
    </row>
    <row r="5" ht="12">
      <c r="A5" s="2" t="s">
        <v>41</v>
      </c>
    </row>
    <row r="6" spans="1:9" ht="12">
      <c r="A6" s="2" t="s">
        <v>1447</v>
      </c>
      <c r="B6" s="2">
        <f>C6*1000</f>
        <v>33000</v>
      </c>
      <c r="C6" s="64">
        <v>33</v>
      </c>
      <c r="D6" s="2" t="s">
        <v>42</v>
      </c>
      <c r="E6" s="2" t="s">
        <v>43</v>
      </c>
      <c r="G6" s="2" t="s">
        <v>43</v>
      </c>
      <c r="I6" s="2" t="s">
        <v>540</v>
      </c>
    </row>
    <row r="7" spans="1:10" ht="12">
      <c r="A7" s="2" t="s">
        <v>541</v>
      </c>
      <c r="B7" s="2">
        <f>C7*1000</f>
        <v>33500</v>
      </c>
      <c r="C7" s="12">
        <f>C6+G8*2+E8*2</f>
        <v>33.5</v>
      </c>
      <c r="D7" s="2" t="s">
        <v>44</v>
      </c>
      <c r="E7" s="2" t="s">
        <v>542</v>
      </c>
      <c r="G7" s="2" t="s">
        <v>543</v>
      </c>
      <c r="I7" s="2">
        <f>C6/6</f>
        <v>5.5</v>
      </c>
      <c r="J7" s="2" t="s">
        <v>45</v>
      </c>
    </row>
    <row r="8" spans="1:9" ht="12">
      <c r="A8" s="2" t="s">
        <v>1257</v>
      </c>
      <c r="B8" s="2">
        <f>C8*1000</f>
        <v>7600</v>
      </c>
      <c r="C8" s="64">
        <v>7.6</v>
      </c>
      <c r="D8" s="2" t="s">
        <v>46</v>
      </c>
      <c r="E8" s="64">
        <v>0.1</v>
      </c>
      <c r="F8" s="2" t="s">
        <v>46</v>
      </c>
      <c r="G8" s="64">
        <v>0.15</v>
      </c>
      <c r="H8" s="2" t="s">
        <v>46</v>
      </c>
      <c r="I8" s="2">
        <f>I7*1000</f>
        <v>5500</v>
      </c>
    </row>
    <row r="9" spans="1:9" ht="12">
      <c r="A9" s="2" t="s">
        <v>544</v>
      </c>
      <c r="G9" s="2">
        <f>E8+G8</f>
        <v>0.25</v>
      </c>
      <c r="I9" s="2">
        <f>I8/10</f>
        <v>550</v>
      </c>
    </row>
    <row r="10" spans="1:7" ht="12">
      <c r="A10" s="2" t="s">
        <v>545</v>
      </c>
      <c r="C10" s="64">
        <v>4</v>
      </c>
      <c r="D10" s="2" t="s">
        <v>47</v>
      </c>
      <c r="G10" s="2">
        <f>G9*1000</f>
        <v>250</v>
      </c>
    </row>
    <row r="11" spans="1:4" ht="12">
      <c r="A11" s="2" t="s">
        <v>48</v>
      </c>
      <c r="C11" s="8">
        <v>1</v>
      </c>
      <c r="D11" s="2" t="s">
        <v>47</v>
      </c>
    </row>
    <row r="12" spans="1:4" ht="12">
      <c r="A12" s="2" t="s">
        <v>49</v>
      </c>
      <c r="B12" s="2" t="s">
        <v>50</v>
      </c>
      <c r="C12" s="64">
        <v>2.3</v>
      </c>
      <c r="D12" s="2" t="s">
        <v>42</v>
      </c>
    </row>
    <row r="13" spans="1:7" ht="12">
      <c r="A13" s="2" t="s">
        <v>51</v>
      </c>
      <c r="B13" s="2" t="s">
        <v>52</v>
      </c>
      <c r="C13" s="2" t="s">
        <v>53</v>
      </c>
      <c r="D13" s="64">
        <v>70</v>
      </c>
      <c r="E13" s="2" t="s">
        <v>801</v>
      </c>
      <c r="F13" s="2">
        <f>D13/1000</f>
        <v>0.07</v>
      </c>
      <c r="G13" s="2" t="s">
        <v>42</v>
      </c>
    </row>
    <row r="14" ht="12">
      <c r="A14" s="2" t="s">
        <v>54</v>
      </c>
    </row>
    <row r="15" ht="12">
      <c r="A15" s="2" t="s">
        <v>55</v>
      </c>
    </row>
    <row r="16" ht="12">
      <c r="A16" s="2" t="s">
        <v>1258</v>
      </c>
    </row>
    <row r="17" spans="1:9" ht="12">
      <c r="A17" s="2" t="s">
        <v>56</v>
      </c>
      <c r="I17" s="2" t="s">
        <v>546</v>
      </c>
    </row>
    <row r="18" spans="1:9" ht="12">
      <c r="A18" s="2" t="s">
        <v>57</v>
      </c>
      <c r="H18" s="2" t="s">
        <v>58</v>
      </c>
      <c r="I18" s="2" t="s">
        <v>59</v>
      </c>
    </row>
    <row r="19" spans="1:11" ht="12">
      <c r="A19" s="8" t="s">
        <v>547</v>
      </c>
      <c r="B19" s="8"/>
      <c r="E19" s="2">
        <f>F19*1000</f>
        <v>47.5</v>
      </c>
      <c r="F19" s="2">
        <f>H21</f>
        <v>0.0475</v>
      </c>
      <c r="G19" s="2" t="s">
        <v>1053</v>
      </c>
      <c r="H19" s="8">
        <f>I19/2</f>
        <v>0.15</v>
      </c>
      <c r="I19" s="64">
        <v>0.3</v>
      </c>
      <c r="J19" s="2">
        <f>I19*1000</f>
        <v>300</v>
      </c>
      <c r="K19" s="2">
        <f>C8*1000-J19*2</f>
        <v>7000</v>
      </c>
    </row>
    <row r="20" spans="1:8" ht="12">
      <c r="A20" s="10" t="s">
        <v>60</v>
      </c>
      <c r="B20" s="10"/>
      <c r="C20" s="10"/>
      <c r="D20" s="10"/>
      <c r="E20" s="2">
        <f>F20*1000</f>
        <v>302.50000000000017</v>
      </c>
      <c r="F20" s="2">
        <f>F23-I19-F19</f>
        <v>0.30250000000000016</v>
      </c>
      <c r="G20" s="2" t="s">
        <v>61</v>
      </c>
      <c r="H20" s="2" t="s">
        <v>548</v>
      </c>
    </row>
    <row r="21" spans="1:9" ht="12">
      <c r="A21" s="2" t="s">
        <v>62</v>
      </c>
      <c r="B21" s="10"/>
      <c r="C21" s="12">
        <f>C10-1</f>
        <v>3</v>
      </c>
      <c r="D21" s="10" t="s">
        <v>63</v>
      </c>
      <c r="E21" s="2">
        <f>F21*1000</f>
        <v>452.5000000000001</v>
      </c>
      <c r="F21" s="2">
        <f>F23-H19-F19</f>
        <v>0.4525000000000001</v>
      </c>
      <c r="G21" s="2" t="s">
        <v>64</v>
      </c>
      <c r="H21" s="12">
        <f>(200/2-5)/2/1000</f>
        <v>0.0475</v>
      </c>
      <c r="I21" s="2" t="s">
        <v>200</v>
      </c>
    </row>
    <row r="22" spans="1:10" ht="12">
      <c r="A22" s="2" t="s">
        <v>65</v>
      </c>
      <c r="B22" s="12">
        <f>(C8-C12*C21)/2-I22-(B25/2-B26/2)/2/1000</f>
        <v>0.05250000000000009</v>
      </c>
      <c r="C22" s="2" t="s">
        <v>42</v>
      </c>
      <c r="D22" s="2">
        <f>(C8-C12*C21)/2</f>
        <v>0.3500000000000001</v>
      </c>
      <c r="E22" s="2">
        <f>F22*1000</f>
        <v>602.5000000000001</v>
      </c>
      <c r="F22" s="2">
        <f>F23-F19</f>
        <v>0.6025000000000001</v>
      </c>
      <c r="G22" s="2" t="s">
        <v>66</v>
      </c>
      <c r="H22" s="2">
        <f>B22*1000</f>
        <v>52.500000000000085</v>
      </c>
      <c r="I22" s="64">
        <v>0.25</v>
      </c>
      <c r="J22" s="2" t="s">
        <v>199</v>
      </c>
    </row>
    <row r="23" spans="1:10" ht="12">
      <c r="A23" s="2" t="s">
        <v>67</v>
      </c>
      <c r="B23" s="10">
        <f>C12</f>
        <v>2.3</v>
      </c>
      <c r="C23" s="2" t="s">
        <v>42</v>
      </c>
      <c r="D23" s="33">
        <f>B23*1000</f>
        <v>2300</v>
      </c>
      <c r="E23" s="2">
        <f>F23*1000</f>
        <v>650.0000000000001</v>
      </c>
      <c r="F23" s="2">
        <f>(C8-C12*C21)/2+I19</f>
        <v>0.6500000000000001</v>
      </c>
      <c r="G23" s="2" t="s">
        <v>68</v>
      </c>
      <c r="I23" s="2">
        <f>I22*1000</f>
        <v>250</v>
      </c>
      <c r="J23" s="2" t="s">
        <v>939</v>
      </c>
    </row>
    <row r="24" spans="1:8" ht="12">
      <c r="A24" s="2" t="s">
        <v>69</v>
      </c>
      <c r="B24" s="10"/>
      <c r="D24" s="33">
        <f>G24*1000</f>
        <v>6899.999999999999</v>
      </c>
      <c r="G24" s="2">
        <f>C12*C21</f>
        <v>6.8999999999999995</v>
      </c>
      <c r="H24" s="2">
        <f>G24*100</f>
        <v>690</v>
      </c>
    </row>
    <row r="25" spans="1:6" ht="12">
      <c r="A25" s="2" t="s">
        <v>549</v>
      </c>
      <c r="B25" s="64">
        <v>200</v>
      </c>
      <c r="C25" s="2" t="s">
        <v>70</v>
      </c>
      <c r="F25" s="2">
        <f>C8-G24</f>
        <v>0.7000000000000002</v>
      </c>
    </row>
    <row r="26" spans="1:8" ht="12">
      <c r="A26" s="2" t="s">
        <v>71</v>
      </c>
      <c r="B26" s="64">
        <v>10</v>
      </c>
      <c r="C26" s="2" t="s">
        <v>12</v>
      </c>
      <c r="D26" s="17"/>
      <c r="E26" s="17" t="s">
        <v>788</v>
      </c>
      <c r="F26" s="33">
        <f>(B25-B26)/2</f>
        <v>95</v>
      </c>
      <c r="H26" s="2">
        <f>E23-(J19+B25+F27)</f>
        <v>102.50000000000011</v>
      </c>
    </row>
    <row r="27" spans="1:6" ht="12">
      <c r="A27" s="2" t="s">
        <v>550</v>
      </c>
      <c r="B27" s="10"/>
      <c r="E27" s="2" t="s">
        <v>1077</v>
      </c>
      <c r="F27" s="2">
        <f>(B25-B26)/4</f>
        <v>47.5</v>
      </c>
    </row>
    <row r="28" spans="1:2" ht="12">
      <c r="A28" s="10" t="s">
        <v>72</v>
      </c>
      <c r="B28" s="10"/>
    </row>
    <row r="29" spans="1:2" ht="12">
      <c r="A29" s="2" t="s">
        <v>1262</v>
      </c>
      <c r="B29" s="10"/>
    </row>
    <row r="30" spans="1:6" ht="12">
      <c r="A30" s="2" t="str">
        <f>IF(B22&gt;0,IF(B22&gt;0.25,"d0=8*L1+21","d0=28*L1+16"),"NG")</f>
        <v>d0=28*L1+16</v>
      </c>
      <c r="C30" s="2">
        <f>IF(B22&gt;0,IF(B22&gt;0.25,8*B22+21,28*B22+16),"NG")</f>
        <v>17.470000000000002</v>
      </c>
      <c r="D30" s="2" t="s">
        <v>853</v>
      </c>
      <c r="F30" s="33">
        <f>ROUND(C30*C36*C37,1)</f>
        <v>21.8</v>
      </c>
    </row>
    <row r="31" ht="12">
      <c r="A31" s="2" t="s">
        <v>73</v>
      </c>
    </row>
    <row r="32" spans="1:6" ht="12">
      <c r="A32" s="2" t="s">
        <v>74</v>
      </c>
      <c r="C32" s="2">
        <f>3*B23+11</f>
        <v>17.9</v>
      </c>
      <c r="D32" s="2" t="s">
        <v>75</v>
      </c>
      <c r="F32" s="33">
        <f>ROUND(C32*C36*C37,1)</f>
        <v>22.4</v>
      </c>
    </row>
    <row r="33" ht="12">
      <c r="A33" s="2" t="s">
        <v>76</v>
      </c>
    </row>
    <row r="35" spans="1:5" ht="12">
      <c r="A35" s="2" t="s">
        <v>551</v>
      </c>
      <c r="C35" s="64">
        <v>18</v>
      </c>
      <c r="D35" s="2" t="s">
        <v>77</v>
      </c>
      <c r="E35" s="2" t="s">
        <v>78</v>
      </c>
    </row>
    <row r="36" spans="1:3" ht="12">
      <c r="A36" s="2" t="s">
        <v>79</v>
      </c>
      <c r="C36" s="64">
        <v>1.25</v>
      </c>
    </row>
    <row r="37" spans="1:3" ht="12">
      <c r="A37" s="2" t="s">
        <v>80</v>
      </c>
      <c r="C37" s="64">
        <v>1</v>
      </c>
    </row>
    <row r="38" spans="1:3" ht="12">
      <c r="A38" s="2" t="s">
        <v>81</v>
      </c>
      <c r="C38" s="10"/>
    </row>
    <row r="39" spans="1:8" ht="12">
      <c r="A39" s="2" t="s">
        <v>82</v>
      </c>
      <c r="C39" s="2">
        <f>ROUND(C35*C37*C36,0)</f>
        <v>23</v>
      </c>
      <c r="D39" s="2" t="s">
        <v>77</v>
      </c>
      <c r="E39" s="2" t="s">
        <v>78</v>
      </c>
      <c r="H39" s="2">
        <f>C39/100</f>
        <v>0.23</v>
      </c>
    </row>
    <row r="40" ht="12">
      <c r="C40" s="2" t="s">
        <v>1076</v>
      </c>
    </row>
    <row r="42" ht="12">
      <c r="A42" s="2" t="s">
        <v>83</v>
      </c>
    </row>
    <row r="43" spans="1:6" ht="12">
      <c r="A43" s="2" t="s">
        <v>84</v>
      </c>
      <c r="B43" s="64">
        <v>0.02</v>
      </c>
      <c r="F43" s="33">
        <f>B43*100</f>
        <v>2</v>
      </c>
    </row>
    <row r="44" spans="1:5" ht="12">
      <c r="A44" s="2" t="s">
        <v>86</v>
      </c>
      <c r="C44" s="64">
        <v>80</v>
      </c>
      <c r="D44" s="2" t="s">
        <v>87</v>
      </c>
      <c r="E44" s="2" t="s">
        <v>88</v>
      </c>
    </row>
    <row r="46" spans="1:5" ht="12">
      <c r="A46" s="4">
        <f>C44</f>
        <v>80</v>
      </c>
      <c r="B46" s="4" t="s">
        <v>89</v>
      </c>
      <c r="C46" s="2">
        <f>B43</f>
        <v>0.02</v>
      </c>
      <c r="D46" s="5" t="s">
        <v>90</v>
      </c>
      <c r="E46" s="2">
        <f>C12*1000</f>
        <v>2300</v>
      </c>
    </row>
    <row r="47" spans="1:9" ht="12">
      <c r="A47" s="2">
        <f>C44-B43*C12*1000</f>
        <v>34</v>
      </c>
      <c r="B47" s="2" t="s">
        <v>87</v>
      </c>
      <c r="I47" s="2">
        <f>A47/1000</f>
        <v>0.034</v>
      </c>
    </row>
    <row r="49" ht="12">
      <c r="A49" s="2" t="s">
        <v>91</v>
      </c>
    </row>
    <row r="51" ht="12">
      <c r="A51" s="2" t="s">
        <v>92</v>
      </c>
    </row>
    <row r="52" ht="12">
      <c r="A52" s="2" t="s">
        <v>93</v>
      </c>
    </row>
    <row r="53" ht="12">
      <c r="A53" s="2" t="s">
        <v>94</v>
      </c>
    </row>
    <row r="54" ht="12">
      <c r="A54" s="2" t="s">
        <v>95</v>
      </c>
    </row>
    <row r="56" ht="12">
      <c r="A56" s="2" t="s">
        <v>96</v>
      </c>
    </row>
    <row r="57" spans="1:8" ht="12">
      <c r="A57" s="10">
        <f>F13</f>
        <v>0.07</v>
      </c>
      <c r="B57" s="2" t="s">
        <v>97</v>
      </c>
      <c r="C57" s="5" t="s">
        <v>98</v>
      </c>
      <c r="D57" s="64">
        <v>2.3</v>
      </c>
      <c r="E57" s="2" t="s">
        <v>1230</v>
      </c>
      <c r="F57" s="2" t="s">
        <v>99</v>
      </c>
      <c r="G57" s="10">
        <f>A57*D57</f>
        <v>0.161</v>
      </c>
      <c r="H57" s="2" t="s">
        <v>100</v>
      </c>
    </row>
    <row r="58" spans="1:6" ht="12">
      <c r="A58" s="10">
        <f>A57*1000</f>
        <v>70</v>
      </c>
      <c r="B58" s="10"/>
      <c r="C58" s="10"/>
      <c r="D58" s="10"/>
      <c r="E58" s="10"/>
      <c r="F58" s="10"/>
    </row>
    <row r="59" ht="12">
      <c r="A59" s="2" t="s">
        <v>101</v>
      </c>
    </row>
    <row r="60" spans="1:8" ht="12">
      <c r="A60" s="10">
        <f>C39/100</f>
        <v>0.23</v>
      </c>
      <c r="B60" s="2" t="s">
        <v>42</v>
      </c>
      <c r="C60" s="5" t="s">
        <v>806</v>
      </c>
      <c r="D60" s="64">
        <v>2.5</v>
      </c>
      <c r="E60" s="2" t="s">
        <v>1230</v>
      </c>
      <c r="F60" s="2" t="s">
        <v>1108</v>
      </c>
      <c r="G60" s="10">
        <f>A60*D60</f>
        <v>0.5750000000000001</v>
      </c>
      <c r="H60" s="2" t="s">
        <v>102</v>
      </c>
    </row>
    <row r="61" spans="1:5" ht="12">
      <c r="A61" s="2">
        <f>A60*100</f>
        <v>23</v>
      </c>
      <c r="B61" s="2" t="s">
        <v>822</v>
      </c>
      <c r="E61" s="10"/>
    </row>
    <row r="62" spans="1:6" ht="12">
      <c r="A62" s="2">
        <f>A61*10</f>
        <v>230</v>
      </c>
      <c r="D62" s="2" t="s">
        <v>103</v>
      </c>
      <c r="E62" s="2">
        <f>G57+G60</f>
        <v>0.7360000000000001</v>
      </c>
      <c r="F62" s="2" t="s">
        <v>102</v>
      </c>
    </row>
    <row r="64" spans="1:10" ht="12">
      <c r="A64" s="10" t="s">
        <v>104</v>
      </c>
      <c r="B64" s="10"/>
      <c r="C64" s="10"/>
      <c r="D64" s="10"/>
      <c r="E64" s="10"/>
      <c r="F64" s="10"/>
      <c r="G64" s="10"/>
      <c r="H64" s="10"/>
      <c r="I64" s="10"/>
      <c r="J64" s="10"/>
    </row>
    <row r="65" spans="1:10" ht="12">
      <c r="A65" s="10">
        <v>0.5</v>
      </c>
      <c r="B65" s="5" t="s">
        <v>806</v>
      </c>
      <c r="C65" s="10">
        <f>A47/100</f>
        <v>0.34</v>
      </c>
      <c r="D65" s="2" t="s">
        <v>42</v>
      </c>
      <c r="E65" s="5" t="s">
        <v>806</v>
      </c>
      <c r="F65" s="10">
        <f>F23</f>
        <v>0.6500000000000001</v>
      </c>
      <c r="G65" s="2" t="s">
        <v>42</v>
      </c>
      <c r="H65" s="5" t="s">
        <v>806</v>
      </c>
      <c r="I65" s="12">
        <f>D60</f>
        <v>2.5</v>
      </c>
      <c r="J65" s="2" t="s">
        <v>105</v>
      </c>
    </row>
    <row r="66" spans="1:3" ht="12">
      <c r="A66" s="2" t="s">
        <v>1108</v>
      </c>
      <c r="B66" s="10">
        <f>ROUND(A65*C65*F65*I65,3)</f>
        <v>0.276</v>
      </c>
      <c r="C66" s="2" t="s">
        <v>102</v>
      </c>
    </row>
    <row r="67" s="10" customFormat="1" ht="12">
      <c r="A67" s="2"/>
    </row>
    <row r="68" ht="12">
      <c r="A68" s="2" t="s">
        <v>106</v>
      </c>
    </row>
    <row r="69" spans="1:4" ht="12">
      <c r="A69" s="2" t="s">
        <v>107</v>
      </c>
      <c r="B69" s="2" t="s">
        <v>108</v>
      </c>
      <c r="C69" s="64">
        <v>0.04</v>
      </c>
      <c r="D69" s="2" t="s">
        <v>109</v>
      </c>
    </row>
    <row r="70" ht="12">
      <c r="A70" s="2" t="s">
        <v>110</v>
      </c>
    </row>
    <row r="71" spans="1:8" ht="12">
      <c r="A71" s="64">
        <v>0.55</v>
      </c>
      <c r="B71" s="2" t="s">
        <v>1421</v>
      </c>
      <c r="C71" s="5" t="s">
        <v>111</v>
      </c>
      <c r="D71" s="2">
        <f>I19</f>
        <v>0.3</v>
      </c>
      <c r="E71" s="2" t="s">
        <v>1421</v>
      </c>
      <c r="F71" s="5" t="s">
        <v>111</v>
      </c>
      <c r="G71" s="12">
        <f>D60</f>
        <v>2.5</v>
      </c>
      <c r="H71" s="2" t="s">
        <v>112</v>
      </c>
    </row>
    <row r="72" spans="1:3" ht="12">
      <c r="A72" s="2" t="s">
        <v>113</v>
      </c>
      <c r="B72" s="2">
        <f>ROUND(A71*D71*G71,3)</f>
        <v>0.413</v>
      </c>
      <c r="C72" s="2" t="s">
        <v>114</v>
      </c>
    </row>
    <row r="74" ht="12">
      <c r="A74" s="2" t="s">
        <v>115</v>
      </c>
    </row>
    <row r="75" ht="12">
      <c r="A75" s="2" t="s">
        <v>116</v>
      </c>
    </row>
    <row r="76" spans="1:3" ht="12">
      <c r="A76" s="2" t="s">
        <v>117</v>
      </c>
      <c r="B76" s="2">
        <f>E62</f>
        <v>0.7360000000000001</v>
      </c>
      <c r="C76" s="2" t="s">
        <v>100</v>
      </c>
    </row>
    <row r="78" spans="1:2" ht="12">
      <c r="A78" s="3" t="s">
        <v>118</v>
      </c>
      <c r="B78" s="3"/>
    </row>
    <row r="80" ht="12">
      <c r="A80" s="2" t="s">
        <v>552</v>
      </c>
    </row>
    <row r="81" ht="12">
      <c r="A81" s="2" t="s">
        <v>119</v>
      </c>
    </row>
    <row r="82" ht="12">
      <c r="A82" s="2" t="s">
        <v>120</v>
      </c>
    </row>
    <row r="83" spans="1:4" ht="12">
      <c r="A83" s="2" t="s">
        <v>121</v>
      </c>
      <c r="B83" s="2" t="s">
        <v>99</v>
      </c>
      <c r="C83" s="10">
        <f>F20</f>
        <v>0.30250000000000016</v>
      </c>
      <c r="D83" s="2" t="s">
        <v>97</v>
      </c>
    </row>
    <row r="84" spans="1:4" ht="12">
      <c r="A84" s="2" t="s">
        <v>122</v>
      </c>
      <c r="B84" s="2" t="s">
        <v>99</v>
      </c>
      <c r="C84" s="2">
        <f>ROUND(-E62*C83^2/2,3)</f>
        <v>-0.034</v>
      </c>
      <c r="D84" s="2" t="s">
        <v>123</v>
      </c>
    </row>
    <row r="86" ht="12">
      <c r="A86" s="2" t="s">
        <v>124</v>
      </c>
    </row>
    <row r="87" spans="1:8" ht="12">
      <c r="A87" s="2">
        <f>-A47/1000</f>
        <v>-0.034</v>
      </c>
      <c r="B87" s="2" t="s">
        <v>98</v>
      </c>
      <c r="C87" s="10">
        <f>F22</f>
        <v>0.6025000000000001</v>
      </c>
      <c r="D87" s="5" t="s">
        <v>125</v>
      </c>
      <c r="E87" s="8">
        <v>3</v>
      </c>
      <c r="F87" s="2" t="s">
        <v>99</v>
      </c>
      <c r="G87" s="2">
        <f>ROUND(A87*C87/E87,3)</f>
        <v>-0.007</v>
      </c>
      <c r="H87" s="2" t="s">
        <v>123</v>
      </c>
    </row>
    <row r="88" ht="12">
      <c r="B88" s="2" t="s">
        <v>126</v>
      </c>
    </row>
    <row r="89" ht="12">
      <c r="A89" s="2" t="s">
        <v>127</v>
      </c>
    </row>
    <row r="90" spans="1:6" ht="12">
      <c r="A90" s="2">
        <f>-C69</f>
        <v>-0.04</v>
      </c>
      <c r="B90" s="2" t="s">
        <v>128</v>
      </c>
      <c r="C90" s="10">
        <f>F21</f>
        <v>0.4525000000000001</v>
      </c>
      <c r="D90" s="2" t="s">
        <v>129</v>
      </c>
      <c r="E90" s="2">
        <f>ROUND(A90*C90,3)</f>
        <v>-0.018</v>
      </c>
      <c r="F90" s="2" t="s">
        <v>130</v>
      </c>
    </row>
    <row r="92" ht="12">
      <c r="A92" s="2" t="s">
        <v>110</v>
      </c>
    </row>
    <row r="93" spans="1:6" ht="12">
      <c r="A93" s="2">
        <f>-B72</f>
        <v>-0.413</v>
      </c>
      <c r="B93" s="2" t="s">
        <v>111</v>
      </c>
      <c r="C93" s="10">
        <f>F21</f>
        <v>0.4525000000000001</v>
      </c>
      <c r="D93" s="2" t="s">
        <v>113</v>
      </c>
      <c r="E93" s="2">
        <f>ROUND(A93*C93,3)</f>
        <v>-0.187</v>
      </c>
      <c r="F93" s="2" t="s">
        <v>131</v>
      </c>
    </row>
    <row r="95" spans="2:4" ht="12">
      <c r="B95" s="2" t="s">
        <v>132</v>
      </c>
      <c r="C95" s="2">
        <f>C84+G87+E90+E93</f>
        <v>-0.246</v>
      </c>
      <c r="D95" s="2" t="s">
        <v>131</v>
      </c>
    </row>
    <row r="97" ht="12">
      <c r="A97" s="2" t="s">
        <v>133</v>
      </c>
    </row>
    <row r="98" ht="12">
      <c r="A98" s="2" t="s">
        <v>134</v>
      </c>
    </row>
    <row r="99" spans="1:3" ht="12">
      <c r="A99" s="2" t="s">
        <v>135</v>
      </c>
      <c r="B99" s="64">
        <v>10</v>
      </c>
      <c r="C99" s="2" t="s">
        <v>136</v>
      </c>
    </row>
    <row r="100" spans="1:3" ht="12">
      <c r="A100" s="2" t="s">
        <v>137</v>
      </c>
      <c r="B100" s="10">
        <f>B22</f>
        <v>0.05250000000000009</v>
      </c>
      <c r="C100" s="2" t="s">
        <v>138</v>
      </c>
    </row>
    <row r="101" spans="1:3" ht="12">
      <c r="A101" s="2" t="s">
        <v>139</v>
      </c>
      <c r="B101" s="2">
        <f>ROUND(-B99*B100/(1.3*B100+0.25),3)</f>
        <v>-1.65</v>
      </c>
      <c r="C101" s="2" t="s">
        <v>140</v>
      </c>
    </row>
    <row r="103" spans="1:4" ht="12">
      <c r="A103" s="2" t="s">
        <v>141</v>
      </c>
      <c r="D103" s="64">
        <v>250</v>
      </c>
    </row>
    <row r="104" spans="1:12" ht="12">
      <c r="A104" s="2" t="s">
        <v>142</v>
      </c>
      <c r="B104" s="12">
        <f>D103*-1/1000</f>
        <v>-0.25</v>
      </c>
      <c r="C104" s="5" t="s">
        <v>128</v>
      </c>
      <c r="D104" s="10" t="s">
        <v>143</v>
      </c>
      <c r="E104" s="64">
        <v>1.1</v>
      </c>
      <c r="F104" s="5" t="s">
        <v>144</v>
      </c>
      <c r="G104" s="12">
        <f>F13</f>
        <v>0.07</v>
      </c>
      <c r="H104" s="5" t="s">
        <v>144</v>
      </c>
      <c r="I104" s="2">
        <f>A60</f>
        <v>0.23</v>
      </c>
      <c r="J104" s="5" t="s">
        <v>145</v>
      </c>
      <c r="K104" s="64">
        <v>2</v>
      </c>
      <c r="L104" s="2" t="s">
        <v>146</v>
      </c>
    </row>
    <row r="105" spans="1:3" ht="12">
      <c r="A105" s="2" t="s">
        <v>129</v>
      </c>
      <c r="B105" s="10">
        <f>ROUND(B104*(E104+G104+A60/2),3)</f>
        <v>-0.321</v>
      </c>
      <c r="C105" s="2" t="s">
        <v>130</v>
      </c>
    </row>
    <row r="106" ht="12">
      <c r="A106" s="2" t="s">
        <v>1293</v>
      </c>
    </row>
    <row r="107" ht="12">
      <c r="A107" s="2" t="s">
        <v>147</v>
      </c>
    </row>
    <row r="108" spans="1:3" ht="12">
      <c r="A108" s="2" t="s">
        <v>148</v>
      </c>
      <c r="B108" s="2">
        <f>C95+B101+B105</f>
        <v>-2.217</v>
      </c>
      <c r="C108" s="2" t="s">
        <v>149</v>
      </c>
    </row>
    <row r="110" ht="12">
      <c r="A110" s="2" t="s">
        <v>150</v>
      </c>
    </row>
    <row r="111" ht="12">
      <c r="A111" s="2" t="s">
        <v>119</v>
      </c>
    </row>
    <row r="112" ht="12">
      <c r="A112" s="2" t="s">
        <v>120</v>
      </c>
    </row>
    <row r="113" spans="1:2" ht="12">
      <c r="A113" s="2" t="s">
        <v>151</v>
      </c>
      <c r="B113" s="2">
        <f>B76</f>
        <v>0.7360000000000001</v>
      </c>
    </row>
    <row r="114" spans="1:2" ht="12">
      <c r="A114" s="2" t="s">
        <v>152</v>
      </c>
      <c r="B114" s="10">
        <f>C12</f>
        <v>2.3</v>
      </c>
    </row>
    <row r="115" ht="12">
      <c r="A115" s="2" t="s">
        <v>153</v>
      </c>
    </row>
    <row r="116" spans="1:3" ht="12">
      <c r="A116" s="2" t="s">
        <v>154</v>
      </c>
      <c r="B116" s="2">
        <f>ROUND(B113*B114^2/10,3)</f>
        <v>0.389</v>
      </c>
      <c r="C116" s="2" t="s">
        <v>123</v>
      </c>
    </row>
    <row r="118" ht="12">
      <c r="A118" s="2" t="s">
        <v>155</v>
      </c>
    </row>
    <row r="119" spans="1:3" ht="12">
      <c r="A119" s="2" t="s">
        <v>156</v>
      </c>
      <c r="B119" s="12">
        <f>B99</f>
        <v>10</v>
      </c>
      <c r="C119" s="2" t="s">
        <v>136</v>
      </c>
    </row>
    <row r="120" spans="1:3" ht="12">
      <c r="A120" s="2" t="s">
        <v>157</v>
      </c>
      <c r="B120" s="10">
        <f>B114</f>
        <v>2.3</v>
      </c>
      <c r="C120" s="2" t="s">
        <v>138</v>
      </c>
    </row>
    <row r="121" spans="1:3" ht="12">
      <c r="A121" s="2" t="s">
        <v>139</v>
      </c>
      <c r="B121" s="2">
        <f>ROUND((0.12*B120+0.07)*B119*0.8,3)</f>
        <v>2.768</v>
      </c>
      <c r="C121" s="2" t="s">
        <v>140</v>
      </c>
    </row>
    <row r="123" ht="12">
      <c r="A123" s="2" t="s">
        <v>158</v>
      </c>
    </row>
    <row r="124" spans="1:3" ht="12">
      <c r="A124" s="2" t="s">
        <v>159</v>
      </c>
      <c r="B124" s="5" t="s">
        <v>160</v>
      </c>
      <c r="C124" s="10">
        <f>IF(B120&lt;4,IF(B120&lt;2.5,1,1+(B113-0.25)/12),"NG")</f>
        <v>1</v>
      </c>
    </row>
    <row r="125" spans="1:3" ht="12">
      <c r="A125" s="2" t="s">
        <v>161</v>
      </c>
      <c r="B125" s="2">
        <f>ROUND(B121*C124,3)</f>
        <v>2.768</v>
      </c>
      <c r="C125" s="2" t="s">
        <v>162</v>
      </c>
    </row>
    <row r="126" ht="12">
      <c r="A126" s="2" t="s">
        <v>165</v>
      </c>
    </row>
    <row r="127" ht="12">
      <c r="A127" s="2" t="s">
        <v>166</v>
      </c>
    </row>
    <row r="128" spans="1:3" ht="12">
      <c r="A128" s="2" t="s">
        <v>167</v>
      </c>
      <c r="B128" s="2">
        <f>ROUND(B116+B125,3)</f>
        <v>3.157</v>
      </c>
      <c r="C128" s="2" t="s">
        <v>149</v>
      </c>
    </row>
    <row r="130" ht="12">
      <c r="A130" s="2" t="s">
        <v>168</v>
      </c>
    </row>
    <row r="131" ht="12">
      <c r="A131" s="2" t="s">
        <v>169</v>
      </c>
    </row>
    <row r="132" ht="12">
      <c r="A132" s="2" t="s">
        <v>553</v>
      </c>
    </row>
    <row r="133" spans="1:3" ht="12">
      <c r="A133" s="2" t="s">
        <v>170</v>
      </c>
      <c r="B133" s="2">
        <f>B76</f>
        <v>0.7360000000000001</v>
      </c>
      <c r="C133" s="2" t="s">
        <v>100</v>
      </c>
    </row>
    <row r="134" spans="1:3" ht="12">
      <c r="A134" s="2" t="s">
        <v>121</v>
      </c>
      <c r="B134" s="10">
        <f>C12</f>
        <v>2.3</v>
      </c>
      <c r="C134" s="2" t="s">
        <v>97</v>
      </c>
    </row>
    <row r="135" ht="12">
      <c r="A135" s="2" t="str">
        <f>IF(C10&gt;3,"Md=-w*L^2/10","Md=-w*L^2/8")</f>
        <v>Md=-w*L^2/10</v>
      </c>
    </row>
    <row r="136" spans="1:3" ht="12">
      <c r="A136" s="2" t="s">
        <v>171</v>
      </c>
      <c r="B136" s="2">
        <f>IF(C10&gt;3,ROUND(-B133*B134^2/10,3),ROUND(-B133*B134^2/8,3))</f>
        <v>-0.389</v>
      </c>
      <c r="C136" s="2" t="s">
        <v>123</v>
      </c>
    </row>
    <row r="137" ht="12">
      <c r="A137" s="2">
        <f>IF(C10&gt;3,10,8)</f>
        <v>10</v>
      </c>
    </row>
    <row r="138" ht="12">
      <c r="A138" s="2" t="s">
        <v>172</v>
      </c>
    </row>
    <row r="139" spans="1:3" ht="12">
      <c r="A139" s="2" t="s">
        <v>173</v>
      </c>
      <c r="B139" s="2">
        <f>ROUND(-(0.12*B134+0.07)*B119*0.8,3)</f>
        <v>-2.768</v>
      </c>
      <c r="C139" s="2" t="s">
        <v>123</v>
      </c>
    </row>
    <row r="140" ht="12">
      <c r="A140" s="2" t="s">
        <v>174</v>
      </c>
    </row>
    <row r="141" spans="1:3" ht="12">
      <c r="A141" s="2" t="s">
        <v>175</v>
      </c>
      <c r="B141" s="2">
        <f>ROUND(-(0.12*B134+0.07)*B119*0.8*C124,3)</f>
        <v>-2.768</v>
      </c>
      <c r="C141" s="2" t="s">
        <v>176</v>
      </c>
    </row>
    <row r="142" ht="12">
      <c r="A142" s="2" t="s">
        <v>177</v>
      </c>
    </row>
    <row r="143" ht="12">
      <c r="A143" s="2" t="s">
        <v>178</v>
      </c>
    </row>
    <row r="144" spans="1:3" ht="12">
      <c r="A144" s="2" t="s">
        <v>179</v>
      </c>
      <c r="B144" s="2">
        <f>B136+B141</f>
        <v>-3.157</v>
      </c>
      <c r="C144" s="2" t="s">
        <v>149</v>
      </c>
    </row>
    <row r="146" spans="1:5" ht="12">
      <c r="A146" s="2" t="s">
        <v>180</v>
      </c>
      <c r="E146" s="2" t="s">
        <v>1295</v>
      </c>
    </row>
    <row r="147" spans="1:5" ht="12">
      <c r="A147" s="2" t="s">
        <v>181</v>
      </c>
      <c r="B147" s="2">
        <f>B108</f>
        <v>-2.217</v>
      </c>
      <c r="C147" s="2" t="s">
        <v>182</v>
      </c>
      <c r="E147" s="2">
        <f>ABS(B147)</f>
        <v>2.217</v>
      </c>
    </row>
    <row r="148" spans="1:5" ht="12">
      <c r="A148" s="2" t="s">
        <v>183</v>
      </c>
      <c r="B148" s="2">
        <f>B128</f>
        <v>3.157</v>
      </c>
      <c r="C148" s="2" t="s">
        <v>182</v>
      </c>
      <c r="E148" s="2">
        <f>ABS(B148)</f>
        <v>3.157</v>
      </c>
    </row>
    <row r="149" spans="1:5" ht="12">
      <c r="A149" s="2" t="s">
        <v>184</v>
      </c>
      <c r="B149" s="2">
        <f>B144</f>
        <v>-3.157</v>
      </c>
      <c r="C149" s="2" t="s">
        <v>182</v>
      </c>
      <c r="E149" s="2">
        <f>ABS(B149)</f>
        <v>3.157</v>
      </c>
    </row>
    <row r="150" spans="1:5" ht="12">
      <c r="A150" s="10">
        <f>IF(IF(E147&lt;E148,E148,E147)&lt;IF(E147&lt;E149,E149,E147),IF(E147&lt;E149,B149,B147),IF(E147&lt;E148,B148,B147))</f>
        <v>3.157</v>
      </c>
      <c r="B150" s="10"/>
      <c r="C150" s="10"/>
      <c r="D150" s="10"/>
      <c r="E150" s="10"/>
    </row>
    <row r="151" ht="12">
      <c r="A151" s="2" t="s">
        <v>554</v>
      </c>
    </row>
    <row r="152" ht="12">
      <c r="A152" s="2" t="s">
        <v>185</v>
      </c>
    </row>
    <row r="153" spans="1:5" ht="12">
      <c r="A153" s="2" t="s">
        <v>186</v>
      </c>
      <c r="B153" s="12">
        <f>IF(IF(E147&lt;E148,E148,E147)&lt;IF(E147&lt;E149,E149,E147),IF(E147&lt;E149,B149,B147),IF(E147&lt;E148,B148,B147))</f>
        <v>3.157</v>
      </c>
      <c r="C153" s="2" t="s">
        <v>187</v>
      </c>
      <c r="E153" s="2">
        <f>B153*10^5</f>
        <v>315700</v>
      </c>
    </row>
    <row r="154" spans="1:7" ht="12">
      <c r="A154" s="2" t="s">
        <v>186</v>
      </c>
      <c r="B154" s="10">
        <f>ABS(B153)</f>
        <v>3.157</v>
      </c>
      <c r="F154" s="2" t="s">
        <v>1300</v>
      </c>
      <c r="G154" s="2" t="s">
        <v>1291</v>
      </c>
    </row>
    <row r="155" spans="1:7" ht="12">
      <c r="A155" s="2" t="s">
        <v>555</v>
      </c>
      <c r="D155" s="64">
        <v>2.865</v>
      </c>
      <c r="E155" s="2" t="s">
        <v>820</v>
      </c>
      <c r="F155" s="64">
        <v>19</v>
      </c>
      <c r="G155" s="64">
        <v>19.1</v>
      </c>
    </row>
    <row r="156" ht="12">
      <c r="A156" s="2" t="s">
        <v>188</v>
      </c>
    </row>
    <row r="157" spans="1:5" ht="12">
      <c r="A157" s="2" t="s">
        <v>189</v>
      </c>
      <c r="B157" s="64">
        <v>14</v>
      </c>
      <c r="C157" s="2" t="s">
        <v>822</v>
      </c>
      <c r="D157" s="2" t="s">
        <v>1292</v>
      </c>
      <c r="E157" s="2">
        <f>B157*2</f>
        <v>28</v>
      </c>
    </row>
    <row r="158" ht="12">
      <c r="A158" s="2" t="s">
        <v>190</v>
      </c>
    </row>
    <row r="159" spans="1:3" ht="12">
      <c r="A159" s="2" t="s">
        <v>191</v>
      </c>
      <c r="B159" s="64">
        <v>100</v>
      </c>
      <c r="C159" s="2" t="s">
        <v>14</v>
      </c>
    </row>
    <row r="160" spans="1:6" ht="12">
      <c r="A160" s="2" t="s">
        <v>192</v>
      </c>
      <c r="B160" s="2">
        <f>D155</f>
        <v>2.865</v>
      </c>
      <c r="C160" s="5" t="s">
        <v>193</v>
      </c>
      <c r="D160" s="10">
        <f>B159</f>
        <v>100</v>
      </c>
      <c r="E160" s="2" t="s">
        <v>194</v>
      </c>
      <c r="F160" s="2">
        <f>B157</f>
        <v>14</v>
      </c>
    </row>
    <row r="161" spans="1:3" ht="12">
      <c r="A161" s="2" t="s">
        <v>192</v>
      </c>
      <c r="B161" s="2">
        <f>ROUND(D155*D160/B157,3)</f>
        <v>20.464</v>
      </c>
      <c r="C161" s="2" t="s">
        <v>195</v>
      </c>
    </row>
    <row r="162" ht="12">
      <c r="A162" s="2" t="s">
        <v>196</v>
      </c>
    </row>
    <row r="163" spans="1:3" ht="12">
      <c r="A163" s="2" t="s">
        <v>197</v>
      </c>
      <c r="B163" s="2">
        <f>ROUND(B161/2,3)</f>
        <v>10.232</v>
      </c>
      <c r="C163" s="2" t="s">
        <v>198</v>
      </c>
    </row>
    <row r="164" spans="1:3" ht="12">
      <c r="A164" s="2" t="s">
        <v>201</v>
      </c>
      <c r="B164" s="10">
        <f>A61</f>
        <v>23</v>
      </c>
      <c r="C164" s="2" t="s">
        <v>822</v>
      </c>
    </row>
    <row r="165" spans="1:3" ht="12">
      <c r="A165" s="2" t="s">
        <v>202</v>
      </c>
      <c r="B165" s="64">
        <v>4</v>
      </c>
      <c r="C165" s="2" t="s">
        <v>822</v>
      </c>
    </row>
    <row r="166" spans="1:7" ht="12">
      <c r="A166" s="2" t="s">
        <v>203</v>
      </c>
      <c r="C166" s="12">
        <f>B164-B165</f>
        <v>19</v>
      </c>
      <c r="D166" s="2" t="s">
        <v>850</v>
      </c>
      <c r="F166" s="2" t="s">
        <v>204</v>
      </c>
      <c r="G166" s="64">
        <v>15</v>
      </c>
    </row>
    <row r="167" ht="12">
      <c r="A167" s="2" t="s">
        <v>205</v>
      </c>
    </row>
    <row r="168" spans="1:2" ht="12">
      <c r="A168" s="2">
        <f>ROUND(-G166/B159*(B161+B163)+SQRT((G166/B159*(B161+B163))^2+2*G166/B159*(C166*B161+B165*B163)),3)</f>
        <v>7.648</v>
      </c>
      <c r="B168" s="2" t="s">
        <v>850</v>
      </c>
    </row>
    <row r="170" ht="12">
      <c r="A170" s="2" t="s">
        <v>206</v>
      </c>
    </row>
    <row r="171" spans="1:2" ht="12">
      <c r="A171" s="2">
        <f>ROUND(B159*A168/2*(C166-A168/3)+G166/2*B161*(A168-B165)/A168*(C166-B165),3)</f>
        <v>7388.855</v>
      </c>
      <c r="B171" s="2" t="s">
        <v>207</v>
      </c>
    </row>
    <row r="173" ht="12">
      <c r="A173" s="2" t="s">
        <v>208</v>
      </c>
    </row>
    <row r="174" spans="1:2" ht="12">
      <c r="A174" s="2">
        <f>ROUND(A171/G166*A168/(C166-A168),3)</f>
        <v>331.865</v>
      </c>
      <c r="B174" s="2" t="s">
        <v>207</v>
      </c>
    </row>
    <row r="176" ht="12">
      <c r="A176" s="2" t="s">
        <v>209</v>
      </c>
    </row>
    <row r="177" ht="12">
      <c r="A177" s="2" t="s">
        <v>210</v>
      </c>
    </row>
    <row r="178" spans="1:6" ht="12">
      <c r="A178" s="2">
        <f>ROUND(B154*10^5/A174,3)</f>
        <v>951.29</v>
      </c>
      <c r="B178" s="2" t="s">
        <v>211</v>
      </c>
      <c r="C178" s="5" t="str">
        <f>IF(A178&lt;D178,"&lt;","&gt;")</f>
        <v>&lt;</v>
      </c>
      <c r="D178" s="64">
        <v>1200</v>
      </c>
      <c r="E178" s="2" t="s">
        <v>211</v>
      </c>
      <c r="F178" s="34" t="str">
        <f>IF(A178&lt;D178,"OK","NG")</f>
        <v>OK</v>
      </c>
    </row>
    <row r="180" ht="12">
      <c r="A180" s="2" t="s">
        <v>212</v>
      </c>
    </row>
    <row r="181" ht="12">
      <c r="A181" s="2" t="s">
        <v>213</v>
      </c>
    </row>
    <row r="182" spans="1:6" ht="12">
      <c r="A182" s="2">
        <f>ROUND(B154*10^5/A171,3)</f>
        <v>42.727</v>
      </c>
      <c r="B182" s="2" t="s">
        <v>214</v>
      </c>
      <c r="C182" s="5" t="str">
        <f>IF(A182&lt;D182,"&lt;","&gt;")</f>
        <v>&lt;</v>
      </c>
      <c r="D182" s="64">
        <v>80</v>
      </c>
      <c r="E182" s="2" t="s">
        <v>214</v>
      </c>
      <c r="F182" s="34" t="str">
        <f>IF(A182&lt;D182,"OK","NG")</f>
        <v>OK</v>
      </c>
    </row>
    <row r="184" ht="12">
      <c r="A184" s="2" t="s">
        <v>215</v>
      </c>
    </row>
    <row r="185" ht="12">
      <c r="A185" s="2" t="s">
        <v>216</v>
      </c>
    </row>
    <row r="186" ht="12">
      <c r="A186" s="2" t="s">
        <v>217</v>
      </c>
    </row>
    <row r="187" ht="12">
      <c r="A187" s="2" t="s">
        <v>218</v>
      </c>
    </row>
    <row r="188" spans="1:3" ht="12">
      <c r="A188" s="2" t="s">
        <v>219</v>
      </c>
      <c r="B188" s="10">
        <f>B22</f>
        <v>0.05250000000000009</v>
      </c>
      <c r="C188" s="2" t="s">
        <v>220</v>
      </c>
    </row>
    <row r="189" spans="1:3" ht="12">
      <c r="A189" s="2" t="s">
        <v>221</v>
      </c>
      <c r="B189" s="64">
        <v>10</v>
      </c>
      <c r="C189" s="2" t="s">
        <v>222</v>
      </c>
    </row>
    <row r="190" ht="12">
      <c r="A190" s="2" t="s">
        <v>223</v>
      </c>
    </row>
    <row r="191" spans="1:2" ht="12">
      <c r="A191" s="2">
        <f>ROUND((0.15*B188+0.13)*B189,3)</f>
        <v>1.379</v>
      </c>
      <c r="B191" s="2" t="s">
        <v>224</v>
      </c>
    </row>
    <row r="192" ht="12">
      <c r="A192" s="2" t="s">
        <v>556</v>
      </c>
    </row>
    <row r="193" spans="1:3" ht="12">
      <c r="A193" s="2" t="s">
        <v>225</v>
      </c>
      <c r="B193" s="10">
        <f>C12</f>
        <v>2.3</v>
      </c>
      <c r="C193" s="2" t="s">
        <v>226</v>
      </c>
    </row>
    <row r="194" spans="1:3" ht="12">
      <c r="A194" s="2" t="s">
        <v>227</v>
      </c>
      <c r="B194" s="64">
        <v>10</v>
      </c>
      <c r="C194" s="2" t="s">
        <v>228</v>
      </c>
    </row>
    <row r="195" ht="12">
      <c r="A195" s="2" t="s">
        <v>229</v>
      </c>
    </row>
    <row r="196" spans="1:2" ht="12">
      <c r="A196" s="2">
        <f>(0.1*B193+0.04)*B194*0.8</f>
        <v>2.1599999999999997</v>
      </c>
      <c r="B196" s="2" t="s">
        <v>230</v>
      </c>
    </row>
    <row r="197" spans="1:7" ht="12">
      <c r="A197" s="2" t="s">
        <v>557</v>
      </c>
      <c r="D197" s="2">
        <f>IF(A191&lt;A196,A196,A191)</f>
        <v>2.1599999999999997</v>
      </c>
      <c r="E197" s="2" t="s">
        <v>231</v>
      </c>
      <c r="F197" s="2" t="str">
        <f>IF(A191&lt;A196,A192,A187)</f>
        <v>連続部</v>
      </c>
      <c r="G197" s="2" t="s">
        <v>232</v>
      </c>
    </row>
    <row r="199" ht="12">
      <c r="A199" s="2" t="s">
        <v>233</v>
      </c>
    </row>
    <row r="200" ht="12">
      <c r="A200" s="2" t="s">
        <v>234</v>
      </c>
    </row>
    <row r="201" spans="1:3" ht="12">
      <c r="A201" s="2">
        <f>D197</f>
        <v>2.1599999999999997</v>
      </c>
      <c r="B201" s="2" t="s">
        <v>187</v>
      </c>
      <c r="C201" s="2">
        <f>A201*10^5</f>
        <v>215999.99999999997</v>
      </c>
    </row>
    <row r="202" ht="12">
      <c r="A202" s="2" t="s">
        <v>558</v>
      </c>
    </row>
    <row r="203" spans="1:4" ht="12">
      <c r="A203" s="4" t="s">
        <v>235</v>
      </c>
      <c r="B203" s="65">
        <v>16</v>
      </c>
      <c r="D203" s="64">
        <v>19.1</v>
      </c>
    </row>
    <row r="204" spans="1:3" ht="12">
      <c r="A204" s="2" t="s">
        <v>236</v>
      </c>
      <c r="B204" s="64">
        <v>1.968</v>
      </c>
      <c r="C204" s="2" t="s">
        <v>237</v>
      </c>
    </row>
    <row r="205" ht="12">
      <c r="A205" s="2" t="s">
        <v>238</v>
      </c>
    </row>
    <row r="206" spans="1:3" ht="12">
      <c r="A206" s="2" t="s">
        <v>239</v>
      </c>
      <c r="B206" s="64">
        <v>14</v>
      </c>
      <c r="C206" s="2" t="s">
        <v>18</v>
      </c>
    </row>
    <row r="207" spans="1:3" ht="12">
      <c r="A207" s="2" t="s">
        <v>240</v>
      </c>
      <c r="B207" s="64">
        <v>100</v>
      </c>
      <c r="C207" s="2" t="s">
        <v>18</v>
      </c>
    </row>
    <row r="208" spans="1:4" ht="12">
      <c r="A208" s="2" t="s">
        <v>241</v>
      </c>
      <c r="B208" s="12">
        <f>C12*100</f>
        <v>229.99999999999997</v>
      </c>
      <c r="C208" s="2" t="s">
        <v>19</v>
      </c>
      <c r="D208" s="2">
        <v>9</v>
      </c>
    </row>
    <row r="209" spans="1:3" ht="12">
      <c r="A209" s="2" t="s">
        <v>242</v>
      </c>
      <c r="B209" s="64">
        <v>200</v>
      </c>
      <c r="C209" s="2" t="s">
        <v>19</v>
      </c>
    </row>
    <row r="210" spans="1:3" ht="12">
      <c r="A210" s="2" t="s">
        <v>243</v>
      </c>
      <c r="B210" s="64">
        <v>40</v>
      </c>
      <c r="C210" s="2" t="s">
        <v>19</v>
      </c>
    </row>
    <row r="211" ht="12">
      <c r="A211" s="2" t="s">
        <v>244</v>
      </c>
    </row>
    <row r="212" spans="1:3" ht="12">
      <c r="A212" s="2" t="s">
        <v>245</v>
      </c>
      <c r="B212" s="2">
        <f>ROUND(B204*B207/B206,3)</f>
        <v>14.057</v>
      </c>
      <c r="C212" s="2" t="s">
        <v>246</v>
      </c>
    </row>
    <row r="213" ht="12">
      <c r="A213" s="2" t="s">
        <v>247</v>
      </c>
    </row>
    <row r="214" spans="1:3" ht="12">
      <c r="A214" s="2" t="s">
        <v>248</v>
      </c>
      <c r="B214" s="2">
        <f>B212/2</f>
        <v>7.0285</v>
      </c>
      <c r="C214" s="2" t="s">
        <v>249</v>
      </c>
    </row>
    <row r="216" ht="12">
      <c r="A216" s="2" t="s">
        <v>201</v>
      </c>
    </row>
    <row r="217" spans="1:3" ht="12">
      <c r="A217" s="2" t="s">
        <v>250</v>
      </c>
      <c r="B217" s="2">
        <f>B164</f>
        <v>23</v>
      </c>
      <c r="C217" s="2" t="s">
        <v>822</v>
      </c>
    </row>
    <row r="218" spans="1:3" ht="12">
      <c r="A218" s="2" t="s">
        <v>251</v>
      </c>
      <c r="B218" s="64">
        <v>4</v>
      </c>
      <c r="C218" s="2" t="s">
        <v>822</v>
      </c>
    </row>
    <row r="219" spans="1:10" ht="12">
      <c r="A219" s="2" t="s">
        <v>252</v>
      </c>
      <c r="B219" s="10">
        <f>B218</f>
        <v>4</v>
      </c>
      <c r="C219" s="5" t="s">
        <v>253</v>
      </c>
      <c r="D219" s="64">
        <v>1.9</v>
      </c>
      <c r="E219" s="5" t="s">
        <v>254</v>
      </c>
      <c r="F219" s="64">
        <v>2</v>
      </c>
      <c r="G219" s="5" t="s">
        <v>253</v>
      </c>
      <c r="H219" s="64">
        <v>1.6</v>
      </c>
      <c r="I219" s="5" t="s">
        <v>254</v>
      </c>
      <c r="J219" s="64">
        <v>2</v>
      </c>
    </row>
    <row r="220" spans="1:9" s="10" customFormat="1" ht="12">
      <c r="A220" s="2" t="s">
        <v>1108</v>
      </c>
      <c r="B220" s="2">
        <f>B219+D219/F219+H219/J219</f>
        <v>5.75</v>
      </c>
      <c r="C220" s="2" t="s">
        <v>822</v>
      </c>
      <c r="D220" s="2" t="s">
        <v>1453</v>
      </c>
      <c r="E220" s="11"/>
      <c r="G220" s="11"/>
      <c r="H220" s="2" t="s">
        <v>1453</v>
      </c>
      <c r="I220" s="11"/>
    </row>
    <row r="221" ht="12">
      <c r="A221" s="2" t="s">
        <v>1454</v>
      </c>
    </row>
    <row r="222" spans="1:3" ht="12">
      <c r="A222" s="2" t="s">
        <v>255</v>
      </c>
      <c r="B222" s="2">
        <f>B217-B220</f>
        <v>17.25</v>
      </c>
      <c r="C222" s="2" t="s">
        <v>822</v>
      </c>
    </row>
    <row r="224" spans="1:2" ht="12">
      <c r="A224" s="2" t="s">
        <v>256</v>
      </c>
      <c r="B224" s="64">
        <v>15</v>
      </c>
    </row>
    <row r="226" ht="12">
      <c r="A226" s="2" t="s">
        <v>264</v>
      </c>
    </row>
    <row r="227" spans="1:2" ht="12">
      <c r="A227" s="2">
        <f>ROUND(-B224/B207*(B212+B214)+SQRT((B224/B207*(B212+B214))^2+2*B224/B207*(B222*B212+B220*B214)),3)</f>
        <v>6.577</v>
      </c>
      <c r="B227" s="2" t="s">
        <v>822</v>
      </c>
    </row>
    <row r="229" ht="12">
      <c r="A229" s="2" t="s">
        <v>265</v>
      </c>
    </row>
    <row r="230" spans="1:2" ht="12">
      <c r="A230" s="2">
        <f>ROUND(B207*A227/2*(B222-A227/3)+B224/2*B212*(A227-B220)/A227*(B222-B220),3)</f>
        <v>5104.164</v>
      </c>
      <c r="B230" s="2" t="s">
        <v>266</v>
      </c>
    </row>
    <row r="233" ht="12">
      <c r="A233" s="2" t="s">
        <v>267</v>
      </c>
    </row>
    <row r="234" spans="1:2" ht="12">
      <c r="A234" s="2">
        <f>ROUND(A230/B224*A227/(B222-A227),3)</f>
        <v>209.689</v>
      </c>
      <c r="B234" s="2" t="s">
        <v>266</v>
      </c>
    </row>
    <row r="235" ht="12">
      <c r="A235" s="2" t="s">
        <v>268</v>
      </c>
    </row>
    <row r="236" ht="12">
      <c r="A236" s="2" t="s">
        <v>210</v>
      </c>
    </row>
    <row r="237" spans="1:6" ht="12">
      <c r="A237" s="2">
        <f>ROUND(A201*10^5/A234,0)</f>
        <v>1030</v>
      </c>
      <c r="B237" s="2" t="s">
        <v>269</v>
      </c>
      <c r="C237" s="5" t="str">
        <f>IF(A237&lt;D237,"&lt;","&gt;")</f>
        <v>&lt;</v>
      </c>
      <c r="D237" s="64">
        <v>1200</v>
      </c>
      <c r="E237" s="2" t="s">
        <v>211</v>
      </c>
      <c r="F237" s="34" t="str">
        <f>IF(A237&lt;D237,"OK","NG")</f>
        <v>OK</v>
      </c>
    </row>
    <row r="238" ht="12">
      <c r="A238" s="2" t="s">
        <v>270</v>
      </c>
    </row>
    <row r="239" ht="12">
      <c r="A239" s="2" t="s">
        <v>271</v>
      </c>
    </row>
    <row r="240" spans="1:6" ht="12">
      <c r="A240" s="2">
        <f>ROUND(A201*10^5/A230,0)</f>
        <v>42</v>
      </c>
      <c r="B240" s="2" t="s">
        <v>272</v>
      </c>
      <c r="C240" s="5" t="str">
        <f>IF(A240&lt;D240,"&lt;","&gt;")</f>
        <v>&lt;</v>
      </c>
      <c r="D240" s="64">
        <v>80</v>
      </c>
      <c r="E240" s="2" t="s">
        <v>273</v>
      </c>
      <c r="F240" s="34" t="str">
        <f>IF(A240&lt;D240,"OK","NG")</f>
        <v>OK</v>
      </c>
    </row>
  </sheetData>
  <sheetProtection password="AF41" sheet="1" objects="1" scenarios="1"/>
  <printOptions horizontalCentered="1"/>
  <pageMargins left="0.2755905511811024" right="0.2755905511811024" top="0.5511811023622047" bottom="0.5118110236220472" header="0.5118110236220472" footer="0.5118110236220472"/>
  <pageSetup horizontalDpi="600" verticalDpi="600" orientation="portrait" paperSize="9" scale="81" r:id="rId1"/>
  <rowBreaks count="3" manualBreakCount="3">
    <brk id="76" max="255" man="1"/>
    <brk id="128" max="255" man="1"/>
    <brk id="183" max="255" man="1"/>
  </rowBreaks>
</worksheet>
</file>

<file path=xl/worksheets/sheet10.xml><?xml version="1.0" encoding="utf-8"?>
<worksheet xmlns="http://schemas.openxmlformats.org/spreadsheetml/2006/main" xmlns:r="http://schemas.openxmlformats.org/officeDocument/2006/relationships">
  <sheetPr codeName="Sheet10"/>
  <dimension ref="A1:H24"/>
  <sheetViews>
    <sheetView zoomScale="80" zoomScaleNormal="80" zoomScalePageLayoutView="0" workbookViewId="0" topLeftCell="A1">
      <selection activeCell="I37" sqref="I37"/>
    </sheetView>
  </sheetViews>
  <sheetFormatPr defaultColWidth="9.00390625" defaultRowHeight="13.5"/>
  <cols>
    <col min="1" max="1" width="11.375" style="2" customWidth="1"/>
    <col min="2" max="16384" width="9.00390625" style="2" customWidth="1"/>
  </cols>
  <sheetData>
    <row r="1" ht="12">
      <c r="A1" s="2" t="s">
        <v>1466</v>
      </c>
    </row>
    <row r="3" ht="12">
      <c r="A3" s="2" t="s">
        <v>1467</v>
      </c>
    </row>
    <row r="4" ht="12">
      <c r="A4" s="2" t="s">
        <v>1468</v>
      </c>
    </row>
    <row r="5" ht="12">
      <c r="A5" s="2" t="s">
        <v>1469</v>
      </c>
    </row>
    <row r="7" ht="12">
      <c r="A7" s="2" t="s">
        <v>1308</v>
      </c>
    </row>
    <row r="8" ht="12">
      <c r="A8" s="2" t="s">
        <v>1470</v>
      </c>
    </row>
    <row r="9" ht="12">
      <c r="A9" s="2" t="s">
        <v>1471</v>
      </c>
    </row>
    <row r="10" ht="12">
      <c r="A10" s="2" t="s">
        <v>1472</v>
      </c>
    </row>
    <row r="11" spans="1:6" ht="12">
      <c r="A11" s="2" t="s">
        <v>1473</v>
      </c>
      <c r="C11" s="10">
        <f>'主桁'!H85</f>
        <v>2.3</v>
      </c>
      <c r="D11" s="2" t="s">
        <v>1307</v>
      </c>
      <c r="E11" s="2">
        <f>C11*10</f>
        <v>23</v>
      </c>
      <c r="F11" s="2" t="s">
        <v>1483</v>
      </c>
    </row>
    <row r="12" spans="1:6" ht="12">
      <c r="A12" s="2" t="s">
        <v>1474</v>
      </c>
      <c r="C12" s="10">
        <f>'主桁'!H89</f>
        <v>0.805</v>
      </c>
      <c r="D12" s="2" t="s">
        <v>1307</v>
      </c>
      <c r="E12" s="2">
        <f>C12*10</f>
        <v>8.05</v>
      </c>
      <c r="F12" s="2" t="s">
        <v>1483</v>
      </c>
    </row>
    <row r="13" spans="1:6" ht="12">
      <c r="A13" s="2" t="s">
        <v>1480</v>
      </c>
      <c r="E13" s="2">
        <f>'主桁'!J410</f>
        <v>5477053.927999999</v>
      </c>
      <c r="F13" s="2" t="s">
        <v>1459</v>
      </c>
    </row>
    <row r="14" spans="1:5" ht="12">
      <c r="A14" s="2" t="s">
        <v>1479</v>
      </c>
      <c r="E14" s="2">
        <f>0.9*E13</f>
        <v>4929348.5352</v>
      </c>
    </row>
    <row r="16" ht="12">
      <c r="A16" s="2" t="s">
        <v>1475</v>
      </c>
    </row>
    <row r="17" spans="1:6" ht="12">
      <c r="A17" s="2" t="s">
        <v>1473</v>
      </c>
      <c r="B17" s="17" t="s">
        <v>1478</v>
      </c>
      <c r="E17" s="2">
        <f>ROUND(5*E11*('床版'!$C$6*100)^4/(384*2.1*10^6*たわみ!$E$14),2)</f>
        <v>3.43</v>
      </c>
      <c r="F17" s="2" t="s">
        <v>1278</v>
      </c>
    </row>
    <row r="18" spans="1:6" ht="12">
      <c r="A18" s="2" t="s">
        <v>1474</v>
      </c>
      <c r="B18" s="17" t="s">
        <v>1477</v>
      </c>
      <c r="E18" s="2">
        <f>ROUND(5*E12*('床版'!$C$6*100)^4/(384*2.1*10^6*たわみ!$E$14),2)</f>
        <v>1.2</v>
      </c>
      <c r="F18" s="2" t="s">
        <v>1278</v>
      </c>
    </row>
    <row r="19" ht="12">
      <c r="A19" s="2" t="s">
        <v>1476</v>
      </c>
    </row>
    <row r="20" spans="1:8" ht="12">
      <c r="A20" s="5" t="s">
        <v>1484</v>
      </c>
      <c r="B20" s="2">
        <f>'床版'!C6</f>
        <v>33</v>
      </c>
      <c r="C20" s="2" t="s">
        <v>1259</v>
      </c>
      <c r="D20" s="2" t="s">
        <v>1485</v>
      </c>
      <c r="E20" s="64">
        <v>40</v>
      </c>
      <c r="F20" s="2" t="s">
        <v>1259</v>
      </c>
      <c r="H20" s="2" t="s">
        <v>1486</v>
      </c>
    </row>
    <row r="21" ht="12">
      <c r="A21" s="2" t="s">
        <v>1487</v>
      </c>
    </row>
    <row r="22" spans="1:4" ht="12">
      <c r="A22" s="2">
        <f>B20/(20000/B20)</f>
        <v>0.054450000000000005</v>
      </c>
      <c r="B22" s="2" t="s">
        <v>1259</v>
      </c>
      <c r="C22" s="2">
        <f>A22*100</f>
        <v>5.445</v>
      </c>
      <c r="D22" s="2" t="s">
        <v>1261</v>
      </c>
    </row>
    <row r="23" ht="12">
      <c r="A23" s="2" t="s">
        <v>1481</v>
      </c>
    </row>
    <row r="24" spans="1:7" ht="12">
      <c r="A24" s="2" t="s">
        <v>1482</v>
      </c>
      <c r="B24" s="2">
        <f>E17+E18</f>
        <v>4.63</v>
      </c>
      <c r="C24" s="2" t="s">
        <v>1261</v>
      </c>
      <c r="D24" s="5" t="str">
        <f>IF(B24&lt;E24,"&lt;","&gt;")</f>
        <v>&lt;</v>
      </c>
      <c r="E24" s="2">
        <f>C22</f>
        <v>5.445</v>
      </c>
      <c r="F24" s="2" t="s">
        <v>1261</v>
      </c>
      <c r="G24" s="9" t="str">
        <f>IF(B24&lt;E24,"OK","NG")</f>
        <v>OK</v>
      </c>
    </row>
  </sheetData>
  <sheetProtection password="AF41" sheet="1" objects="1" scenarios="1"/>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1"/>
  <dimension ref="A1:I96"/>
  <sheetViews>
    <sheetView zoomScale="80" zoomScaleNormal="80" zoomScalePageLayoutView="0" workbookViewId="0" topLeftCell="A1">
      <selection activeCell="E28" sqref="E28"/>
    </sheetView>
  </sheetViews>
  <sheetFormatPr defaultColWidth="9.00390625" defaultRowHeight="13.5"/>
  <cols>
    <col min="1" max="1" width="9.00390625" style="2" customWidth="1"/>
    <col min="2" max="3" width="9.50390625" style="2" customWidth="1"/>
    <col min="4" max="4" width="10.25390625" style="2" customWidth="1"/>
    <col min="5" max="5" width="9.00390625" style="2" customWidth="1"/>
    <col min="6" max="6" width="13.50390625" style="2" customWidth="1"/>
    <col min="7" max="7" width="14.375" style="2" customWidth="1"/>
    <col min="8" max="8" width="9.375" style="2" bestFit="1" customWidth="1"/>
    <col min="9" max="16384" width="9.00390625" style="2" customWidth="1"/>
  </cols>
  <sheetData>
    <row r="1" ht="12">
      <c r="A1" s="2" t="s">
        <v>1488</v>
      </c>
    </row>
    <row r="2" ht="12">
      <c r="A2" s="2" t="s">
        <v>1489</v>
      </c>
    </row>
    <row r="3" spans="1:3" ht="12">
      <c r="A3" s="2" t="s">
        <v>1493</v>
      </c>
      <c r="C3" s="2" t="s">
        <v>1490</v>
      </c>
    </row>
    <row r="4" ht="12">
      <c r="A4" s="2" t="s">
        <v>1321</v>
      </c>
    </row>
    <row r="5" spans="1:3" ht="12">
      <c r="A5" s="2" t="s">
        <v>1491</v>
      </c>
      <c r="B5" s="2">
        <f>'主桁'!J378</f>
        <v>3407179.784</v>
      </c>
      <c r="C5" s="2" t="s">
        <v>1459</v>
      </c>
    </row>
    <row r="6" spans="1:3" ht="12">
      <c r="A6" s="2" t="s">
        <v>1492</v>
      </c>
      <c r="B6" s="2">
        <f>'主桁'!J316</f>
        <v>5477053.927999999</v>
      </c>
      <c r="C6" s="2" t="s">
        <v>1459</v>
      </c>
    </row>
    <row r="7" ht="12">
      <c r="A7" s="2" t="s">
        <v>1494</v>
      </c>
    </row>
    <row r="8" spans="1:5" ht="12">
      <c r="A8" s="2" t="s">
        <v>1327</v>
      </c>
      <c r="D8" s="2">
        <f>B6/(1+3*B10/25)</f>
        <v>5103479.2471114425</v>
      </c>
      <c r="E8" s="2" t="s">
        <v>1495</v>
      </c>
    </row>
    <row r="9" ht="12">
      <c r="A9" s="2" t="s">
        <v>1335</v>
      </c>
    </row>
    <row r="10" spans="1:2" ht="12">
      <c r="A10" s="2" t="s">
        <v>1271</v>
      </c>
      <c r="B10" s="2">
        <f>ROUND((B6-B5)/B5,2)</f>
        <v>0.61</v>
      </c>
    </row>
    <row r="11" ht="12">
      <c r="A11" s="2" t="s">
        <v>1328</v>
      </c>
    </row>
    <row r="12" spans="1:3" ht="12">
      <c r="A12" s="2" t="s">
        <v>1491</v>
      </c>
      <c r="B12" s="2">
        <f>'主桁'!J472</f>
        <v>3407179.784</v>
      </c>
      <c r="C12" s="2" t="s">
        <v>1459</v>
      </c>
    </row>
    <row r="13" spans="1:3" ht="12">
      <c r="A13" s="2" t="s">
        <v>1492</v>
      </c>
      <c r="B13" s="2">
        <f>'主桁'!J410</f>
        <v>5477053.927999999</v>
      </c>
      <c r="C13" s="2" t="s">
        <v>1459</v>
      </c>
    </row>
    <row r="14" spans="1:2" ht="12">
      <c r="A14" s="2" t="s">
        <v>1271</v>
      </c>
      <c r="B14" s="2">
        <f>ROUND((B13-B12)/B12,2)</f>
        <v>0.61</v>
      </c>
    </row>
    <row r="15" spans="1:5" ht="12">
      <c r="A15" s="2" t="s">
        <v>1329</v>
      </c>
      <c r="D15" s="2">
        <f>B13/(1+3*B14/25)</f>
        <v>5103479.2471114425</v>
      </c>
      <c r="E15" s="2" t="s">
        <v>1459</v>
      </c>
    </row>
    <row r="16" ht="12">
      <c r="A16" s="2" t="s">
        <v>1330</v>
      </c>
    </row>
    <row r="17" spans="1:4" ht="12">
      <c r="A17" s="19"/>
      <c r="B17" s="19" t="s">
        <v>1332</v>
      </c>
      <c r="C17" s="19" t="s">
        <v>1333</v>
      </c>
      <c r="D17" s="19" t="s">
        <v>1334</v>
      </c>
    </row>
    <row r="18" spans="1:4" ht="12">
      <c r="A18" s="19" t="s">
        <v>1331</v>
      </c>
      <c r="B18" s="20">
        <f>B5/10^6</f>
        <v>3.4071797839999998</v>
      </c>
      <c r="C18" s="20">
        <f>B6/10^6</f>
        <v>5.477053927999999</v>
      </c>
      <c r="D18" s="20">
        <f>D8/10^6</f>
        <v>5.1034792471114425</v>
      </c>
    </row>
    <row r="19" spans="1:4" ht="12">
      <c r="A19" s="19" t="s">
        <v>1328</v>
      </c>
      <c r="B19" s="20">
        <f>B12/10^6</f>
        <v>3.4071797839999998</v>
      </c>
      <c r="C19" s="20">
        <f>B13/10^6</f>
        <v>5.477053927999999</v>
      </c>
      <c r="D19" s="20">
        <f>D15/10^6</f>
        <v>5.1034792471114425</v>
      </c>
    </row>
    <row r="21" ht="12">
      <c r="A21" s="2" t="s">
        <v>1336</v>
      </c>
    </row>
    <row r="22" ht="12">
      <c r="A22" s="2" t="s">
        <v>1337</v>
      </c>
    </row>
    <row r="23" ht="12">
      <c r="A23" s="2" t="s">
        <v>1348</v>
      </c>
    </row>
    <row r="24" ht="12">
      <c r="A24" s="2" t="s">
        <v>1338</v>
      </c>
    </row>
    <row r="25" ht="12">
      <c r="A25" s="2" t="s">
        <v>1341</v>
      </c>
    </row>
    <row r="26" spans="1:9" ht="12">
      <c r="A26" s="2" t="s">
        <v>1345</v>
      </c>
      <c r="E26" s="2">
        <f>'主桁'!C189</f>
        <v>282.187</v>
      </c>
      <c r="H26" s="2">
        <f>E26*10^5</f>
        <v>28218700</v>
      </c>
      <c r="I26" s="2" t="s">
        <v>1275</v>
      </c>
    </row>
    <row r="27" spans="1:9" ht="12">
      <c r="A27" s="2" t="s">
        <v>1346</v>
      </c>
      <c r="E27" s="2">
        <f>'主桁'!C192</f>
        <v>331.873</v>
      </c>
      <c r="H27" s="2">
        <f>E27*10^5</f>
        <v>33187300</v>
      </c>
      <c r="I27" s="2" t="s">
        <v>1275</v>
      </c>
    </row>
    <row r="28" spans="1:6" ht="12">
      <c r="A28" s="2" t="s">
        <v>1342</v>
      </c>
      <c r="E28" s="8">
        <f>2.1*10^6</f>
        <v>2100000</v>
      </c>
      <c r="F28" s="2" t="s">
        <v>1275</v>
      </c>
    </row>
    <row r="29" spans="1:9" ht="12">
      <c r="A29" s="2" t="s">
        <v>1343</v>
      </c>
      <c r="E29" s="2">
        <f>'床版'!C6*100</f>
        <v>3300</v>
      </c>
      <c r="F29" s="2" t="s">
        <v>1261</v>
      </c>
      <c r="H29" s="2">
        <f>E29/100</f>
        <v>33</v>
      </c>
      <c r="I29" s="2" t="s">
        <v>1265</v>
      </c>
    </row>
    <row r="30" spans="1:6" ht="12">
      <c r="A30" s="2" t="s">
        <v>1349</v>
      </c>
      <c r="E30" s="2">
        <f>ROUND(5*E26*10^5*E29^2/(48*E28*D18*10^6),2)</f>
        <v>2.99</v>
      </c>
      <c r="F30" s="2" t="s">
        <v>1261</v>
      </c>
    </row>
    <row r="31" spans="1:6" ht="12">
      <c r="A31" s="2" t="s">
        <v>1344</v>
      </c>
      <c r="E31" s="2">
        <f>ROUND(5*E27*10^5*E29^2/(48*E28*D19*10^6),2)</f>
        <v>3.51</v>
      </c>
      <c r="F31" s="2" t="s">
        <v>1261</v>
      </c>
    </row>
    <row r="33" ht="12">
      <c r="A33" s="2" t="s">
        <v>1347</v>
      </c>
    </row>
    <row r="34" ht="12">
      <c r="A34" s="2" t="s">
        <v>1351</v>
      </c>
    </row>
    <row r="35" ht="12">
      <c r="A35" s="2" t="s">
        <v>1321</v>
      </c>
    </row>
    <row r="36" spans="1:3" ht="12">
      <c r="A36" s="2" t="s">
        <v>1350</v>
      </c>
      <c r="B36" s="10">
        <f>'床版'!I7</f>
        <v>5.5</v>
      </c>
      <c r="C36" s="2" t="s">
        <v>1265</v>
      </c>
    </row>
    <row r="37" spans="1:3" ht="12">
      <c r="A37" s="2" t="s">
        <v>1352</v>
      </c>
      <c r="B37" s="10">
        <f>ROUND(E30*(1-(2*B36/(E29/100))^2),2)</f>
        <v>2.66</v>
      </c>
      <c r="C37" s="2" t="s">
        <v>1353</v>
      </c>
    </row>
    <row r="38" spans="1:3" ht="12">
      <c r="A38" s="2" t="s">
        <v>1350</v>
      </c>
      <c r="B38" s="10">
        <f>B36*2</f>
        <v>11</v>
      </c>
      <c r="C38" s="2" t="s">
        <v>1265</v>
      </c>
    </row>
    <row r="39" spans="1:3" ht="12">
      <c r="A39" s="2" t="s">
        <v>1352</v>
      </c>
      <c r="B39" s="10">
        <f>ROUND(E30*(1-(2*B38/(E29/100))^2),2)</f>
        <v>1.66</v>
      </c>
      <c r="C39" s="2" t="s">
        <v>1278</v>
      </c>
    </row>
    <row r="40" spans="1:2" ht="12">
      <c r="A40" s="2" t="s">
        <v>1328</v>
      </c>
      <c r="B40" s="10"/>
    </row>
    <row r="41" spans="1:3" ht="12">
      <c r="A41" s="2" t="s">
        <v>1350</v>
      </c>
      <c r="B41" s="10">
        <f>B36</f>
        <v>5.5</v>
      </c>
      <c r="C41" s="2" t="s">
        <v>1265</v>
      </c>
    </row>
    <row r="42" spans="1:3" ht="12">
      <c r="A42" s="2" t="s">
        <v>1352</v>
      </c>
      <c r="B42" s="10">
        <f>ROUND(E31*(1-(2*B41/(E29/100))^2),2)</f>
        <v>3.12</v>
      </c>
      <c r="C42" s="2" t="s">
        <v>1278</v>
      </c>
    </row>
    <row r="43" spans="1:3" ht="12">
      <c r="A43" s="2" t="s">
        <v>1350</v>
      </c>
      <c r="B43" s="10">
        <f>B38</f>
        <v>11</v>
      </c>
      <c r="C43" s="2" t="s">
        <v>1265</v>
      </c>
    </row>
    <row r="44" spans="1:3" ht="12">
      <c r="A44" s="2" t="s">
        <v>1352</v>
      </c>
      <c r="B44" s="2">
        <f>ROUND(E31*(1-(2*B43/(E29/100))^2),2)</f>
        <v>1.95</v>
      </c>
      <c r="C44" s="2" t="s">
        <v>1278</v>
      </c>
    </row>
    <row r="45" ht="12">
      <c r="A45" s="2" t="s">
        <v>1354</v>
      </c>
    </row>
    <row r="46" spans="1:6" ht="12">
      <c r="A46" s="19" t="s">
        <v>1355</v>
      </c>
      <c r="B46" s="19"/>
      <c r="C46" s="19">
        <v>0</v>
      </c>
      <c r="D46" s="19">
        <v>1</v>
      </c>
      <c r="E46" s="19">
        <v>2</v>
      </c>
      <c r="F46" s="19">
        <v>3</v>
      </c>
    </row>
    <row r="47" spans="1:6" ht="12">
      <c r="A47" s="19" t="s">
        <v>1436</v>
      </c>
      <c r="B47" s="19"/>
      <c r="C47" s="19">
        <v>0</v>
      </c>
      <c r="D47" s="19">
        <f>'床版'!I7</f>
        <v>5.5</v>
      </c>
      <c r="E47" s="19">
        <f>D47*2</f>
        <v>11</v>
      </c>
      <c r="F47" s="19">
        <f>D47*3</f>
        <v>16.5</v>
      </c>
    </row>
    <row r="48" spans="1:6" ht="12">
      <c r="A48" s="19" t="s">
        <v>1356</v>
      </c>
      <c r="B48" s="19"/>
      <c r="C48" s="19">
        <v>0</v>
      </c>
      <c r="D48" s="19">
        <f>B39</f>
        <v>1.66</v>
      </c>
      <c r="E48" s="19">
        <f>B37</f>
        <v>2.66</v>
      </c>
      <c r="F48" s="19">
        <f>E30</f>
        <v>2.99</v>
      </c>
    </row>
    <row r="49" spans="1:6" ht="12">
      <c r="A49" s="19" t="s">
        <v>1357</v>
      </c>
      <c r="B49" s="19"/>
      <c r="C49" s="19">
        <v>0</v>
      </c>
      <c r="D49" s="19">
        <f>B44</f>
        <v>1.95</v>
      </c>
      <c r="E49" s="19">
        <f>B42</f>
        <v>3.12</v>
      </c>
      <c r="F49" s="19">
        <f>E31</f>
        <v>3.51</v>
      </c>
    </row>
    <row r="50" spans="1:7" ht="12">
      <c r="A50" s="22"/>
      <c r="B50" s="22"/>
      <c r="C50" s="22"/>
      <c r="D50" s="2">
        <v>3</v>
      </c>
      <c r="E50" s="2">
        <v>2</v>
      </c>
      <c r="F50" s="2">
        <v>1</v>
      </c>
      <c r="G50" s="2" t="s">
        <v>1437</v>
      </c>
    </row>
    <row r="51" spans="1:6" ht="12">
      <c r="A51" s="22"/>
      <c r="B51" s="22"/>
      <c r="D51" s="30">
        <f>'主桁'!B535</f>
        <v>4.125</v>
      </c>
      <c r="E51" s="30">
        <f>'主桁'!C535</f>
        <v>8.25</v>
      </c>
      <c r="F51" s="30">
        <f>'主桁'!D535</f>
        <v>16.5</v>
      </c>
    </row>
    <row r="94" spans="1:8" ht="12">
      <c r="A94" s="22"/>
      <c r="B94" s="22"/>
      <c r="C94" s="22"/>
      <c r="D94" s="22"/>
      <c r="E94" s="22"/>
      <c r="F94" s="22"/>
      <c r="G94" s="22"/>
      <c r="H94" s="22"/>
    </row>
    <row r="95" spans="1:8" ht="12">
      <c r="A95" s="22"/>
      <c r="B95" s="22"/>
      <c r="C95" s="22"/>
      <c r="D95" s="22"/>
      <c r="E95" s="22"/>
      <c r="F95" s="22"/>
      <c r="G95" s="22"/>
      <c r="H95" s="22"/>
    </row>
    <row r="96" spans="1:8" ht="12">
      <c r="A96" s="22"/>
      <c r="B96" s="22"/>
      <c r="C96" s="22"/>
      <c r="D96" s="22"/>
      <c r="E96" s="22"/>
      <c r="F96" s="22"/>
      <c r="G96" s="22"/>
      <c r="H96" s="22"/>
    </row>
  </sheetData>
  <sheetProtection password="AF41" sheet="1" objects="1" scenarios="1"/>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2"/>
  <dimension ref="A1:Z63"/>
  <sheetViews>
    <sheetView view="pageBreakPreview" zoomScaleNormal="80" zoomScaleSheetLayoutView="100" zoomScalePageLayoutView="0" workbookViewId="0" topLeftCell="A45">
      <selection activeCell="E18" sqref="E18"/>
    </sheetView>
  </sheetViews>
  <sheetFormatPr defaultColWidth="8.875" defaultRowHeight="13.5"/>
  <cols>
    <col min="1" max="1" width="9.875" style="2" customWidth="1"/>
    <col min="2" max="2" width="8.50390625" style="2" customWidth="1"/>
    <col min="3" max="3" width="6.125" style="2" customWidth="1"/>
    <col min="4" max="4" width="6.625" style="2" customWidth="1"/>
    <col min="5" max="5" width="4.625" style="2" customWidth="1"/>
    <col min="6" max="6" width="7.625" style="2" customWidth="1"/>
    <col min="7" max="7" width="6.00390625" style="2" customWidth="1"/>
    <col min="8" max="8" width="11.875" style="2" customWidth="1"/>
    <col min="9" max="9" width="13.75390625" style="2" customWidth="1"/>
    <col min="10" max="10" width="7.75390625" style="2" customWidth="1"/>
    <col min="11" max="11" width="14.75390625" style="2" customWidth="1"/>
    <col min="12" max="16384" width="8.875" style="2" customWidth="1"/>
  </cols>
  <sheetData>
    <row r="1" spans="1:9" ht="12">
      <c r="A1" s="22" t="s">
        <v>1331</v>
      </c>
      <c r="B1" s="70">
        <v>2</v>
      </c>
      <c r="C1" s="22" t="s">
        <v>1260</v>
      </c>
      <c r="D1" s="22"/>
      <c r="E1" s="22"/>
      <c r="F1" s="22"/>
      <c r="G1" s="22"/>
      <c r="H1" s="70">
        <v>7.85</v>
      </c>
      <c r="I1" s="2" t="s">
        <v>1289</v>
      </c>
    </row>
    <row r="2" spans="1:10" ht="12">
      <c r="A2" s="19" t="s">
        <v>1358</v>
      </c>
      <c r="B2" s="19" t="s">
        <v>1359</v>
      </c>
      <c r="C2" s="19" t="s">
        <v>1360</v>
      </c>
      <c r="D2" s="19"/>
      <c r="E2" s="19"/>
      <c r="F2" s="19" t="s">
        <v>1361</v>
      </c>
      <c r="G2" s="19" t="s">
        <v>1362</v>
      </c>
      <c r="H2" s="19" t="s">
        <v>1363</v>
      </c>
      <c r="I2" s="19" t="s">
        <v>1364</v>
      </c>
      <c r="J2" s="19" t="s">
        <v>1365</v>
      </c>
    </row>
    <row r="3" spans="1:12" ht="12">
      <c r="A3" s="19" t="s">
        <v>1366</v>
      </c>
      <c r="B3" s="19" t="s">
        <v>1438</v>
      </c>
      <c r="C3" s="29">
        <f>'主桁'!B375</f>
        <v>280</v>
      </c>
      <c r="D3" s="31" t="s">
        <v>1276</v>
      </c>
      <c r="E3" s="29">
        <f>'主桁'!D375</f>
        <v>36</v>
      </c>
      <c r="F3" s="32">
        <f>'主桁'!B536*1000</f>
        <v>4125</v>
      </c>
      <c r="G3" s="29">
        <f>2*$B$1</f>
        <v>4</v>
      </c>
      <c r="H3" s="19">
        <f>(C3/1000*E3/1000)*$H$1*1000</f>
        <v>79.12800000000001</v>
      </c>
      <c r="I3" s="19">
        <f>F3/1000*H3</f>
        <v>326.4030000000001</v>
      </c>
      <c r="J3" s="19">
        <f>I3*G3</f>
        <v>1305.6120000000003</v>
      </c>
      <c r="L3" s="2" t="s">
        <v>766</v>
      </c>
    </row>
    <row r="4" spans="1:25" ht="12">
      <c r="A4" s="19"/>
      <c r="B4" s="19">
        <v>2</v>
      </c>
      <c r="C4" s="29">
        <f>'主桁'!B344</f>
        <v>400</v>
      </c>
      <c r="D4" s="31" t="s">
        <v>1276</v>
      </c>
      <c r="E4" s="29">
        <f>'主桁'!D344</f>
        <v>36</v>
      </c>
      <c r="F4" s="29">
        <f>'主桁'!C536*1000</f>
        <v>4125</v>
      </c>
      <c r="G4" s="29">
        <f>2*$B$1</f>
        <v>4</v>
      </c>
      <c r="H4" s="19">
        <f aca="true" t="shared" si="0" ref="H4:H18">(C4/1000*E4/1000)*$H$1*1000</f>
        <v>113.03999999999999</v>
      </c>
      <c r="I4" s="19">
        <f aca="true" t="shared" si="1" ref="I4:I18">F4/1000*H4</f>
        <v>466.28999999999996</v>
      </c>
      <c r="J4" s="19">
        <f aca="true" t="shared" si="2" ref="J4:J18">I4*G4</f>
        <v>1865.1599999999999</v>
      </c>
      <c r="L4" s="19" t="s">
        <v>1358</v>
      </c>
      <c r="M4" s="19" t="s">
        <v>1359</v>
      </c>
      <c r="N4" s="19" t="s">
        <v>1360</v>
      </c>
      <c r="O4" s="19"/>
      <c r="P4" s="19"/>
      <c r="Q4" s="19"/>
      <c r="R4" s="19"/>
      <c r="S4" s="19"/>
      <c r="T4" s="19"/>
      <c r="U4" s="19" t="s">
        <v>1361</v>
      </c>
      <c r="V4" s="19" t="s">
        <v>1362</v>
      </c>
      <c r="W4" s="19" t="s">
        <v>1363</v>
      </c>
      <c r="X4" s="19" t="s">
        <v>1364</v>
      </c>
      <c r="Y4" s="19" t="s">
        <v>1365</v>
      </c>
    </row>
    <row r="5" spans="1:25" ht="12">
      <c r="A5" s="19"/>
      <c r="B5" s="19">
        <v>1</v>
      </c>
      <c r="C5" s="29">
        <f>'主桁'!B313</f>
        <v>510</v>
      </c>
      <c r="D5" s="31" t="s">
        <v>1276</v>
      </c>
      <c r="E5" s="29">
        <f>'主桁'!D313</f>
        <v>36</v>
      </c>
      <c r="F5" s="29">
        <f>'主桁'!D536*1000</f>
        <v>8250</v>
      </c>
      <c r="G5" s="29">
        <f>2*$B$1</f>
        <v>4</v>
      </c>
      <c r="H5" s="19">
        <f t="shared" si="0"/>
        <v>144.12599999999998</v>
      </c>
      <c r="I5" s="19">
        <f t="shared" si="1"/>
        <v>1189.0394999999999</v>
      </c>
      <c r="J5" s="19">
        <f t="shared" si="2"/>
        <v>4756.157999999999</v>
      </c>
      <c r="L5" s="19" t="s">
        <v>1216</v>
      </c>
      <c r="M5" s="19" t="s">
        <v>1222</v>
      </c>
      <c r="N5" s="24">
        <f>'対傾構'!C42</f>
        <v>300</v>
      </c>
      <c r="O5" s="55" t="s">
        <v>1276</v>
      </c>
      <c r="P5" s="24">
        <f>'対傾構'!E42</f>
        <v>90</v>
      </c>
      <c r="Q5" s="55" t="s">
        <v>1276</v>
      </c>
      <c r="R5" s="55">
        <f>'対傾構'!G42</f>
        <v>36</v>
      </c>
      <c r="S5" s="55" t="s">
        <v>1276</v>
      </c>
      <c r="T5" s="24">
        <f>'対傾構'!I42</f>
        <v>36</v>
      </c>
      <c r="U5" s="32">
        <v>1950</v>
      </c>
      <c r="V5" s="29">
        <v>6</v>
      </c>
      <c r="W5" s="19">
        <f aca="true" t="shared" si="3" ref="W5:W10">(N5/1000*P5/1000)*$H$1*1000</f>
        <v>211.95</v>
      </c>
      <c r="X5" s="19">
        <f aca="true" t="shared" si="4" ref="X5:X10">U5/1000*W5</f>
        <v>413.30249999999995</v>
      </c>
      <c r="Y5" s="19">
        <f aca="true" t="shared" si="5" ref="Y5:Y11">X5*V5</f>
        <v>2479.8149999999996</v>
      </c>
    </row>
    <row r="6" spans="1:25" ht="12">
      <c r="A6" s="19" t="s">
        <v>1367</v>
      </c>
      <c r="B6" s="19" t="s">
        <v>1374</v>
      </c>
      <c r="C6" s="29">
        <f>'主桁'!B314</f>
        <v>2200</v>
      </c>
      <c r="D6" s="31" t="s">
        <v>1276</v>
      </c>
      <c r="E6" s="29">
        <f>'主桁'!D314</f>
        <v>10</v>
      </c>
      <c r="F6" s="32">
        <f>'床版'!C6*1000</f>
        <v>33000</v>
      </c>
      <c r="G6" s="29">
        <f>B1</f>
        <v>2</v>
      </c>
      <c r="H6" s="19">
        <f t="shared" si="0"/>
        <v>172.7</v>
      </c>
      <c r="I6" s="19">
        <f t="shared" si="1"/>
        <v>5699.099999999999</v>
      </c>
      <c r="J6" s="19">
        <f t="shared" si="2"/>
        <v>11398.199999999999</v>
      </c>
      <c r="L6" s="19" t="s">
        <v>1389</v>
      </c>
      <c r="M6" s="19" t="s">
        <v>1222</v>
      </c>
      <c r="N6" s="24">
        <f>'対傾構'!B79</f>
        <v>130</v>
      </c>
      <c r="O6" s="55" t="s">
        <v>1276</v>
      </c>
      <c r="P6" s="24">
        <f>'対傾構'!D79</f>
        <v>130</v>
      </c>
      <c r="Q6" s="55" t="s">
        <v>1276</v>
      </c>
      <c r="R6" s="55">
        <f>'対傾構'!F79</f>
        <v>15</v>
      </c>
      <c r="S6" s="31"/>
      <c r="T6" s="29"/>
      <c r="U6" s="29">
        <v>1550.7</v>
      </c>
      <c r="V6" s="29">
        <v>12</v>
      </c>
      <c r="W6" s="19">
        <f t="shared" si="3"/>
        <v>132.665</v>
      </c>
      <c r="X6" s="19">
        <f t="shared" si="4"/>
        <v>205.7236155</v>
      </c>
      <c r="Y6" s="19">
        <f t="shared" si="5"/>
        <v>2468.6833859999997</v>
      </c>
    </row>
    <row r="7" spans="1:25" ht="12">
      <c r="A7" s="19" t="s">
        <v>1368</v>
      </c>
      <c r="B7" s="19" t="s">
        <v>1439</v>
      </c>
      <c r="C7" s="29">
        <f>'外桁継手'!B94</f>
        <v>180</v>
      </c>
      <c r="D7" s="31" t="s">
        <v>1276</v>
      </c>
      <c r="E7" s="29">
        <f>'外桁継手'!D94</f>
        <v>10</v>
      </c>
      <c r="F7" s="29">
        <f>'外桁継手'!F94</f>
        <v>615</v>
      </c>
      <c r="G7" s="69">
        <v>16</v>
      </c>
      <c r="H7" s="19">
        <f t="shared" si="0"/>
        <v>14.129999999999997</v>
      </c>
      <c r="I7" s="19">
        <f t="shared" si="1"/>
        <v>8.689949999999998</v>
      </c>
      <c r="J7" s="19">
        <f t="shared" si="2"/>
        <v>139.03919999999997</v>
      </c>
      <c r="L7" s="19" t="s">
        <v>1217</v>
      </c>
      <c r="M7" s="19" t="s">
        <v>1222</v>
      </c>
      <c r="N7" s="24">
        <f>'対傾構'!B124</f>
        <v>130</v>
      </c>
      <c r="O7" s="55" t="s">
        <v>1276</v>
      </c>
      <c r="P7" s="24">
        <f>'対傾構'!D124</f>
        <v>130</v>
      </c>
      <c r="Q7" s="55" t="s">
        <v>1276</v>
      </c>
      <c r="R7" s="55">
        <f>'対傾構'!F124</f>
        <v>15</v>
      </c>
      <c r="S7" s="31"/>
      <c r="T7" s="29"/>
      <c r="U7" s="29">
        <v>1900</v>
      </c>
      <c r="V7" s="29">
        <v>6</v>
      </c>
      <c r="W7" s="19">
        <f t="shared" si="3"/>
        <v>132.665</v>
      </c>
      <c r="X7" s="19">
        <f t="shared" si="4"/>
        <v>252.06349999999998</v>
      </c>
      <c r="Y7" s="19">
        <f t="shared" si="5"/>
        <v>1512.3809999999999</v>
      </c>
    </row>
    <row r="8" spans="1:25" ht="12">
      <c r="A8" s="19"/>
      <c r="B8" s="19" t="s">
        <v>1439</v>
      </c>
      <c r="C8" s="29">
        <f>'外桁継手'!B95</f>
        <v>1720</v>
      </c>
      <c r="D8" s="31" t="s">
        <v>1276</v>
      </c>
      <c r="E8" s="29">
        <f>'外桁継手'!D95</f>
        <v>10</v>
      </c>
      <c r="F8" s="29">
        <f>'外桁継手'!F95</f>
        <v>315</v>
      </c>
      <c r="G8" s="69">
        <v>8</v>
      </c>
      <c r="H8" s="19">
        <f t="shared" si="0"/>
        <v>135.02</v>
      </c>
      <c r="I8" s="19">
        <f t="shared" si="1"/>
        <v>42.5313</v>
      </c>
      <c r="J8" s="19">
        <f t="shared" si="2"/>
        <v>340.2504</v>
      </c>
      <c r="L8" s="19" t="s">
        <v>1218</v>
      </c>
      <c r="M8" s="19" t="s">
        <v>1219</v>
      </c>
      <c r="N8" s="29">
        <v>250</v>
      </c>
      <c r="O8" s="31" t="s">
        <v>1276</v>
      </c>
      <c r="P8" s="29">
        <v>10</v>
      </c>
      <c r="Q8" s="29"/>
      <c r="R8" s="29"/>
      <c r="S8" s="29"/>
      <c r="T8" s="29"/>
      <c r="U8" s="32">
        <v>320</v>
      </c>
      <c r="V8" s="29">
        <v>12</v>
      </c>
      <c r="W8" s="19">
        <f t="shared" si="3"/>
        <v>19.625</v>
      </c>
      <c r="X8" s="19">
        <f t="shared" si="4"/>
        <v>6.28</v>
      </c>
      <c r="Y8" s="19">
        <f t="shared" si="5"/>
        <v>75.36</v>
      </c>
    </row>
    <row r="9" spans="1:25" ht="12">
      <c r="A9" s="19"/>
      <c r="B9" s="19" t="s">
        <v>1375</v>
      </c>
      <c r="C9" s="29">
        <f>'外桁継手'!C140*10</f>
        <v>510</v>
      </c>
      <c r="D9" s="31" t="s">
        <v>1276</v>
      </c>
      <c r="E9" s="29">
        <f>'外桁継手'!E140*10</f>
        <v>16</v>
      </c>
      <c r="F9" s="29">
        <f>'外桁継手'!G140*10</f>
        <v>765</v>
      </c>
      <c r="G9" s="69">
        <v>4</v>
      </c>
      <c r="H9" s="19">
        <f t="shared" si="0"/>
        <v>64.056</v>
      </c>
      <c r="I9" s="19">
        <f t="shared" si="1"/>
        <v>49.00284</v>
      </c>
      <c r="J9" s="19">
        <f t="shared" si="2"/>
        <v>196.01136</v>
      </c>
      <c r="L9" s="19"/>
      <c r="M9" s="19" t="s">
        <v>1220</v>
      </c>
      <c r="N9" s="29">
        <v>459.9</v>
      </c>
      <c r="O9" s="31" t="s">
        <v>1276</v>
      </c>
      <c r="P9" s="29">
        <v>10</v>
      </c>
      <c r="Q9" s="29"/>
      <c r="R9" s="29"/>
      <c r="S9" s="29"/>
      <c r="T9" s="29"/>
      <c r="U9" s="29">
        <v>515.2</v>
      </c>
      <c r="V9" s="69">
        <v>6</v>
      </c>
      <c r="W9" s="19">
        <f t="shared" si="3"/>
        <v>36.10215</v>
      </c>
      <c r="X9" s="19">
        <f t="shared" si="4"/>
        <v>18.59982768</v>
      </c>
      <c r="Y9" s="19">
        <f t="shared" si="5"/>
        <v>111.59896608</v>
      </c>
    </row>
    <row r="10" spans="1:25" ht="12">
      <c r="A10" s="19"/>
      <c r="B10" s="19"/>
      <c r="C10" s="29">
        <f>'外桁継手'!C141*10</f>
        <v>210</v>
      </c>
      <c r="D10" s="31" t="s">
        <v>1276</v>
      </c>
      <c r="E10" s="29">
        <f>'外桁継手'!E141*10</f>
        <v>16</v>
      </c>
      <c r="F10" s="29">
        <f>'外桁継手'!G141*10</f>
        <v>765</v>
      </c>
      <c r="G10" s="69">
        <v>8</v>
      </c>
      <c r="H10" s="19">
        <f t="shared" si="0"/>
        <v>26.375999999999998</v>
      </c>
      <c r="I10" s="19">
        <f t="shared" si="1"/>
        <v>20.17764</v>
      </c>
      <c r="J10" s="19">
        <f t="shared" si="2"/>
        <v>161.42112</v>
      </c>
      <c r="L10" s="19"/>
      <c r="M10" s="19" t="s">
        <v>1221</v>
      </c>
      <c r="N10" s="29">
        <v>440.1</v>
      </c>
      <c r="O10" s="31" t="s">
        <v>1276</v>
      </c>
      <c r="P10" s="29">
        <v>10</v>
      </c>
      <c r="Q10" s="29"/>
      <c r="R10" s="29"/>
      <c r="S10" s="29"/>
      <c r="T10" s="29"/>
      <c r="U10" s="29">
        <v>240</v>
      </c>
      <c r="V10" s="69">
        <v>12</v>
      </c>
      <c r="W10" s="19">
        <f t="shared" si="3"/>
        <v>34.547850000000004</v>
      </c>
      <c r="X10" s="19">
        <f t="shared" si="4"/>
        <v>8.291484</v>
      </c>
      <c r="Y10" s="19">
        <f t="shared" si="5"/>
        <v>99.497808</v>
      </c>
    </row>
    <row r="11" spans="1:25" ht="12">
      <c r="A11" s="19"/>
      <c r="B11" s="19" t="s">
        <v>1376</v>
      </c>
      <c r="C11" s="29">
        <f>'外桁継手'!C197*10</f>
        <v>510</v>
      </c>
      <c r="D11" s="31" t="s">
        <v>1276</v>
      </c>
      <c r="E11" s="29">
        <f>'外桁継手'!E197*10</f>
        <v>22</v>
      </c>
      <c r="F11" s="29">
        <f>'外桁継手'!G197*10</f>
        <v>615</v>
      </c>
      <c r="G11" s="69">
        <v>4</v>
      </c>
      <c r="H11" s="19">
        <f t="shared" si="0"/>
        <v>88.077</v>
      </c>
      <c r="I11" s="19">
        <f t="shared" si="1"/>
        <v>54.167355</v>
      </c>
      <c r="J11" s="19">
        <f t="shared" si="2"/>
        <v>216.66942</v>
      </c>
      <c r="L11" s="19" t="s">
        <v>1369</v>
      </c>
      <c r="M11" s="19"/>
      <c r="N11" s="69" t="s">
        <v>1416</v>
      </c>
      <c r="O11" s="23" t="s">
        <v>1276</v>
      </c>
      <c r="P11" s="29"/>
      <c r="Q11" s="29"/>
      <c r="S11" s="29"/>
      <c r="T11" s="29"/>
      <c r="U11" s="24">
        <f>R6+10+40</f>
        <v>65</v>
      </c>
      <c r="V11" s="24">
        <f>16*12</f>
        <v>192</v>
      </c>
      <c r="W11" s="19"/>
      <c r="X11" s="69">
        <v>0.555</v>
      </c>
      <c r="Y11" s="19">
        <f t="shared" si="5"/>
        <v>106.56</v>
      </c>
    </row>
    <row r="12" spans="1:25" ht="12">
      <c r="A12" s="19"/>
      <c r="B12" s="19"/>
      <c r="C12" s="29">
        <f>'外桁継手'!C198*10</f>
        <v>230</v>
      </c>
      <c r="D12" s="31" t="s">
        <v>1276</v>
      </c>
      <c r="E12" s="29">
        <f>'外桁継手'!E198*10</f>
        <v>22</v>
      </c>
      <c r="F12" s="29">
        <f>'外桁継手'!G198*10</f>
        <v>615</v>
      </c>
      <c r="G12" s="69">
        <v>8</v>
      </c>
      <c r="H12" s="19">
        <f t="shared" si="0"/>
        <v>39.721</v>
      </c>
      <c r="I12" s="19">
        <f t="shared" si="1"/>
        <v>24.428414999999998</v>
      </c>
      <c r="J12" s="19">
        <f>I12*G12</f>
        <v>195.42731999999998</v>
      </c>
      <c r="L12" s="19"/>
      <c r="M12" s="19"/>
      <c r="N12" s="19"/>
      <c r="O12" s="23"/>
      <c r="P12" s="19"/>
      <c r="Q12" s="19"/>
      <c r="R12" s="19"/>
      <c r="S12" s="19"/>
      <c r="T12" s="19"/>
      <c r="U12" s="19"/>
      <c r="V12" s="19"/>
      <c r="W12" s="19"/>
      <c r="X12" s="19"/>
      <c r="Y12" s="19"/>
    </row>
    <row r="13" spans="1:26" ht="12">
      <c r="A13" s="19" t="s">
        <v>1369</v>
      </c>
      <c r="B13" s="19" t="s">
        <v>1374</v>
      </c>
      <c r="C13" s="69" t="s">
        <v>1416</v>
      </c>
      <c r="D13" s="23" t="s">
        <v>1276</v>
      </c>
      <c r="E13" s="29"/>
      <c r="F13" s="29">
        <f>'外桁継手'!D94+'外桁継手'!D95+'主桁'!E305*10+40</f>
        <v>70</v>
      </c>
      <c r="G13" s="69">
        <f>(('外桁継手'!C34+1)*4+('外桁継手'!C51+1)*2*2*2)*2*'材料表'!B1</f>
        <v>336</v>
      </c>
      <c r="H13" s="19"/>
      <c r="I13" s="69">
        <v>0.555</v>
      </c>
      <c r="J13" s="19">
        <f>I13*G13</f>
        <v>186.48000000000002</v>
      </c>
      <c r="X13" s="2" t="s">
        <v>1372</v>
      </c>
      <c r="Y13" s="2">
        <f>SUM(Y5:Y11)</f>
        <v>6853.8961600799985</v>
      </c>
      <c r="Z13" s="2" t="s">
        <v>1441</v>
      </c>
    </row>
    <row r="14" spans="1:26" ht="12">
      <c r="A14" s="19"/>
      <c r="B14" s="19" t="s">
        <v>1375</v>
      </c>
      <c r="C14" s="69" t="s">
        <v>1416</v>
      </c>
      <c r="D14" s="23" t="s">
        <v>1276</v>
      </c>
      <c r="E14" s="29"/>
      <c r="F14" s="29">
        <f>'外桁継手'!B136+'外桁継手'!B137+'外桁継手'!B138+40</f>
        <v>108</v>
      </c>
      <c r="G14" s="69">
        <f>'外桁継手'!B155*2*'材料表'!B1*2</f>
        <v>160</v>
      </c>
      <c r="H14" s="19"/>
      <c r="I14" s="69">
        <v>0.645</v>
      </c>
      <c r="J14" s="19">
        <f>I14*G14</f>
        <v>103.2</v>
      </c>
      <c r="Y14" s="2">
        <f>Y13/1000</f>
        <v>6.853896160079999</v>
      </c>
      <c r="Z14" s="2" t="s">
        <v>1290</v>
      </c>
    </row>
    <row r="15" spans="1:10" ht="12">
      <c r="A15" s="19"/>
      <c r="B15" s="19" t="s">
        <v>1376</v>
      </c>
      <c r="C15" s="69" t="s">
        <v>1416</v>
      </c>
      <c r="D15" s="23" t="s">
        <v>1276</v>
      </c>
      <c r="E15" s="29"/>
      <c r="F15" s="29">
        <f>'外桁継手'!B184+'外桁継手'!B185+'外桁継手'!B186+40</f>
        <v>120</v>
      </c>
      <c r="G15" s="69">
        <f>'外桁継手'!B155*2*'材料表'!B1*2</f>
        <v>160</v>
      </c>
      <c r="H15" s="19"/>
      <c r="I15" s="69">
        <v>0.689</v>
      </c>
      <c r="J15" s="19">
        <f>I15*G15</f>
        <v>110.24</v>
      </c>
    </row>
    <row r="16" spans="1:12" ht="12">
      <c r="A16" s="19" t="s">
        <v>1370</v>
      </c>
      <c r="B16" s="19" t="s">
        <v>1377</v>
      </c>
      <c r="C16" s="29">
        <f>'補剛材'!A19</f>
        <v>130</v>
      </c>
      <c r="D16" s="31" t="s">
        <v>1276</v>
      </c>
      <c r="E16" s="29">
        <f>'補剛材'!C19</f>
        <v>16</v>
      </c>
      <c r="F16" s="29">
        <f>'補剛材'!C9</f>
        <v>2200</v>
      </c>
      <c r="G16" s="29">
        <f>2*B1*2</f>
        <v>8</v>
      </c>
      <c r="H16" s="19">
        <f t="shared" si="0"/>
        <v>16.328000000000003</v>
      </c>
      <c r="I16" s="19">
        <f t="shared" si="1"/>
        <v>35.92160000000001</v>
      </c>
      <c r="J16" s="19">
        <f t="shared" si="2"/>
        <v>287.3728000000001</v>
      </c>
      <c r="L16" s="10" t="s">
        <v>1066</v>
      </c>
    </row>
    <row r="17" spans="1:23" ht="12">
      <c r="A17" s="19"/>
      <c r="B17" s="19" t="s">
        <v>1378</v>
      </c>
      <c r="C17" s="29">
        <f>'補剛材'!A71</f>
        <v>130</v>
      </c>
      <c r="D17" s="31" t="s">
        <v>1276</v>
      </c>
      <c r="E17" s="29">
        <f>'補剛材'!C71</f>
        <v>12</v>
      </c>
      <c r="F17" s="29">
        <f>'補剛材'!C9-35</f>
        <v>2165</v>
      </c>
      <c r="G17" s="69">
        <v>28</v>
      </c>
      <c r="H17" s="19">
        <f t="shared" si="0"/>
        <v>12.246</v>
      </c>
      <c r="I17" s="19">
        <f t="shared" si="1"/>
        <v>26.512590000000003</v>
      </c>
      <c r="J17" s="19">
        <f t="shared" si="2"/>
        <v>742.3525200000001</v>
      </c>
      <c r="L17" s="19" t="s">
        <v>1358</v>
      </c>
      <c r="M17" s="19" t="s">
        <v>1359</v>
      </c>
      <c r="N17" s="19" t="s">
        <v>1360</v>
      </c>
      <c r="O17" s="19"/>
      <c r="P17" s="19"/>
      <c r="Q17" s="19"/>
      <c r="R17" s="19"/>
      <c r="S17" s="19" t="s">
        <v>1361</v>
      </c>
      <c r="T17" s="19" t="s">
        <v>1362</v>
      </c>
      <c r="U17" s="19" t="s">
        <v>1363</v>
      </c>
      <c r="V17" s="19" t="s">
        <v>1364</v>
      </c>
      <c r="W17" s="19" t="s">
        <v>1365</v>
      </c>
    </row>
    <row r="18" spans="1:23" ht="12">
      <c r="A18" s="19" t="s">
        <v>1371</v>
      </c>
      <c r="B18" s="19"/>
      <c r="C18" s="29">
        <f>'補剛材'!B189</f>
        <v>130</v>
      </c>
      <c r="D18" s="31" t="s">
        <v>1276</v>
      </c>
      <c r="E18" s="29">
        <f>'補剛材'!D189</f>
        <v>36</v>
      </c>
      <c r="F18" s="29">
        <f>F6-40-40-80*('補剛材'!A60-1)-80*('補剛材'!A109-1)-80*('補剛材'!A135-1)-20*2</f>
        <v>32400</v>
      </c>
      <c r="G18" s="29">
        <f>B1*1</f>
        <v>2</v>
      </c>
      <c r="H18" s="19">
        <f t="shared" si="0"/>
        <v>36.738</v>
      </c>
      <c r="I18" s="19">
        <f t="shared" si="1"/>
        <v>1190.3111999999999</v>
      </c>
      <c r="J18" s="19">
        <f t="shared" si="2"/>
        <v>2380.6223999999997</v>
      </c>
      <c r="L18" s="19" t="s">
        <v>1216</v>
      </c>
      <c r="M18" s="19" t="s">
        <v>1222</v>
      </c>
      <c r="N18" s="24">
        <f>'対傾構'!B145</f>
        <v>130</v>
      </c>
      <c r="O18" s="55" t="s">
        <v>1276</v>
      </c>
      <c r="P18" s="24">
        <f>'対傾構'!D145</f>
        <v>130</v>
      </c>
      <c r="Q18" s="55" t="s">
        <v>1276</v>
      </c>
      <c r="R18" s="55">
        <f>'対傾構'!F145</f>
        <v>36</v>
      </c>
      <c r="S18" s="24">
        <v>2010</v>
      </c>
      <c r="T18" s="29">
        <v>14</v>
      </c>
      <c r="U18" s="19">
        <f aca="true" t="shared" si="6" ref="U18:U23">(N18/1000*P18/1000)*$H$1*1000</f>
        <v>132.665</v>
      </c>
      <c r="V18" s="19">
        <f aca="true" t="shared" si="7" ref="V18:V23">S18/1000*U18</f>
        <v>266.65664999999996</v>
      </c>
      <c r="W18" s="19">
        <f aca="true" t="shared" si="8" ref="W18:W24">V18*T18</f>
        <v>3733.1930999999995</v>
      </c>
    </row>
    <row r="19" spans="1:23" ht="12">
      <c r="A19" s="19"/>
      <c r="B19" s="19"/>
      <c r="C19" s="19"/>
      <c r="D19" s="23"/>
      <c r="E19" s="19"/>
      <c r="F19" s="19"/>
      <c r="G19" s="19"/>
      <c r="H19" s="19"/>
      <c r="I19" s="19"/>
      <c r="J19" s="19"/>
      <c r="L19" s="19" t="s">
        <v>1389</v>
      </c>
      <c r="M19" s="19" t="s">
        <v>1222</v>
      </c>
      <c r="N19" s="24">
        <f>'対傾構'!B162</f>
        <v>130</v>
      </c>
      <c r="O19" s="55" t="s">
        <v>1276</v>
      </c>
      <c r="P19" s="24">
        <f>'対傾構'!D162</f>
        <v>130</v>
      </c>
      <c r="Q19" s="55" t="s">
        <v>1276</v>
      </c>
      <c r="R19" s="55">
        <f>'対傾構'!F162</f>
        <v>36</v>
      </c>
      <c r="S19" s="24">
        <v>1808</v>
      </c>
      <c r="T19" s="29">
        <v>28</v>
      </c>
      <c r="U19" s="19">
        <f t="shared" si="6"/>
        <v>132.665</v>
      </c>
      <c r="V19" s="19">
        <f t="shared" si="7"/>
        <v>239.85832</v>
      </c>
      <c r="W19" s="19">
        <f t="shared" si="8"/>
        <v>6716.03296</v>
      </c>
    </row>
    <row r="20" spans="9:23" ht="12">
      <c r="I20" s="2" t="s">
        <v>1372</v>
      </c>
      <c r="J20" s="2">
        <f>SUM(J3:J18)</f>
        <v>24384.216539999998</v>
      </c>
      <c r="K20" s="2" t="s">
        <v>1441</v>
      </c>
      <c r="L20" s="19" t="s">
        <v>1217</v>
      </c>
      <c r="M20" s="19" t="s">
        <v>1222</v>
      </c>
      <c r="N20" s="24">
        <f>N18</f>
        <v>130</v>
      </c>
      <c r="O20" s="55" t="s">
        <v>1276</v>
      </c>
      <c r="P20" s="24">
        <f>P18</f>
        <v>130</v>
      </c>
      <c r="Q20" s="55" t="s">
        <v>1276</v>
      </c>
      <c r="R20" s="55">
        <f>R18</f>
        <v>36</v>
      </c>
      <c r="S20" s="24">
        <v>1950</v>
      </c>
      <c r="T20" s="29">
        <v>14</v>
      </c>
      <c r="U20" s="19">
        <f t="shared" si="6"/>
        <v>132.665</v>
      </c>
      <c r="V20" s="19">
        <f t="shared" si="7"/>
        <v>258.69674999999995</v>
      </c>
      <c r="W20" s="19">
        <f t="shared" si="8"/>
        <v>3621.754499999999</v>
      </c>
    </row>
    <row r="21" spans="10:23" ht="12">
      <c r="J21" s="2">
        <f>J20/1000</f>
        <v>24.384216539999997</v>
      </c>
      <c r="K21" s="2" t="s">
        <v>1290</v>
      </c>
      <c r="L21" s="19" t="s">
        <v>1218</v>
      </c>
      <c r="M21" s="19" t="s">
        <v>1219</v>
      </c>
      <c r="N21" s="24">
        <v>250</v>
      </c>
      <c r="O21" s="55" t="s">
        <v>1276</v>
      </c>
      <c r="P21" s="24">
        <v>10</v>
      </c>
      <c r="Q21" s="24"/>
      <c r="R21" s="24"/>
      <c r="S21" s="24">
        <v>230.4</v>
      </c>
      <c r="T21" s="29">
        <v>28</v>
      </c>
      <c r="U21" s="19">
        <f t="shared" si="6"/>
        <v>19.625</v>
      </c>
      <c r="V21" s="19">
        <f t="shared" si="7"/>
        <v>4.5216</v>
      </c>
      <c r="W21" s="19">
        <f t="shared" si="8"/>
        <v>126.60480000000001</v>
      </c>
    </row>
    <row r="22" spans="1:23" ht="12">
      <c r="A22" s="22" t="s">
        <v>1328</v>
      </c>
      <c r="B22" s="30">
        <f>'床版'!C10-2</f>
        <v>2</v>
      </c>
      <c r="C22" s="22" t="s">
        <v>1260</v>
      </c>
      <c r="D22" s="22"/>
      <c r="E22" s="22"/>
      <c r="F22" s="22"/>
      <c r="G22" s="22"/>
      <c r="H22" s="22"/>
      <c r="I22" s="22"/>
      <c r="J22" s="22"/>
      <c r="L22" s="19"/>
      <c r="M22" s="19" t="s">
        <v>1220</v>
      </c>
      <c r="N22" s="24">
        <v>459.9</v>
      </c>
      <c r="O22" s="55" t="s">
        <v>1276</v>
      </c>
      <c r="P22" s="24">
        <v>10</v>
      </c>
      <c r="Q22" s="24"/>
      <c r="R22" s="24"/>
      <c r="S22" s="24">
        <v>370</v>
      </c>
      <c r="T22" s="69">
        <v>14</v>
      </c>
      <c r="U22" s="19">
        <f t="shared" si="6"/>
        <v>36.10215</v>
      </c>
      <c r="V22" s="19">
        <f t="shared" si="7"/>
        <v>13.3577955</v>
      </c>
      <c r="W22" s="19">
        <f t="shared" si="8"/>
        <v>187.009137</v>
      </c>
    </row>
    <row r="23" spans="1:23" ht="12">
      <c r="A23" s="19" t="s">
        <v>1358</v>
      </c>
      <c r="B23" s="19" t="s">
        <v>1359</v>
      </c>
      <c r="C23" s="19" t="s">
        <v>1360</v>
      </c>
      <c r="D23" s="19"/>
      <c r="E23" s="19"/>
      <c r="F23" s="19" t="s">
        <v>1361</v>
      </c>
      <c r="G23" s="19" t="s">
        <v>1362</v>
      </c>
      <c r="H23" s="19" t="s">
        <v>1363</v>
      </c>
      <c r="I23" s="19" t="s">
        <v>1364</v>
      </c>
      <c r="J23" s="19" t="s">
        <v>1365</v>
      </c>
      <c r="L23" s="19"/>
      <c r="M23" s="19" t="s">
        <v>1221</v>
      </c>
      <c r="N23" s="24">
        <v>440.1</v>
      </c>
      <c r="O23" s="55" t="s">
        <v>1276</v>
      </c>
      <c r="P23" s="24">
        <v>10</v>
      </c>
      <c r="Q23" s="24"/>
      <c r="R23" s="24"/>
      <c r="S23" s="24">
        <v>230</v>
      </c>
      <c r="T23" s="69">
        <v>28</v>
      </c>
      <c r="U23" s="19">
        <f t="shared" si="6"/>
        <v>34.547850000000004</v>
      </c>
      <c r="V23" s="19">
        <f t="shared" si="7"/>
        <v>7.946005500000001</v>
      </c>
      <c r="W23" s="19">
        <f t="shared" si="8"/>
        <v>222.48815400000004</v>
      </c>
    </row>
    <row r="24" spans="1:23" ht="12">
      <c r="A24" s="19" t="s">
        <v>1366</v>
      </c>
      <c r="B24" s="19" t="s">
        <v>1373</v>
      </c>
      <c r="C24" s="29">
        <f>'主桁'!B469</f>
        <v>280</v>
      </c>
      <c r="D24" s="31" t="s">
        <v>1276</v>
      </c>
      <c r="E24" s="29">
        <f>'主桁'!D469</f>
        <v>36</v>
      </c>
      <c r="F24" s="29">
        <f>F3</f>
        <v>4125</v>
      </c>
      <c r="G24" s="29">
        <f>$B$22*2</f>
        <v>4</v>
      </c>
      <c r="H24" s="19">
        <f>(C24/1000*E24/1000)*$H$1*1000</f>
        <v>79.12800000000001</v>
      </c>
      <c r="I24" s="19">
        <f>F24/1000*H24</f>
        <v>326.4030000000001</v>
      </c>
      <c r="J24" s="19">
        <f>I24*G24</f>
        <v>1305.6120000000003</v>
      </c>
      <c r="L24" s="19" t="s">
        <v>1369</v>
      </c>
      <c r="M24" s="19"/>
      <c r="N24" s="69" t="s">
        <v>1416</v>
      </c>
      <c r="O24" s="23" t="s">
        <v>1276</v>
      </c>
      <c r="P24" s="29"/>
      <c r="Q24" s="29"/>
      <c r="S24" s="24">
        <f>R19+10+40</f>
        <v>86</v>
      </c>
      <c r="T24" s="24">
        <f>14*12</f>
        <v>168</v>
      </c>
      <c r="U24" s="19"/>
      <c r="V24" s="69">
        <v>0.555</v>
      </c>
      <c r="W24" s="19">
        <f t="shared" si="8"/>
        <v>93.24000000000001</v>
      </c>
    </row>
    <row r="25" spans="1:23" ht="12">
      <c r="A25" s="19"/>
      <c r="B25" s="19"/>
      <c r="C25" s="29">
        <f>'主桁'!B438</f>
        <v>450</v>
      </c>
      <c r="D25" s="31" t="s">
        <v>1276</v>
      </c>
      <c r="E25" s="29">
        <f>'主桁'!D438</f>
        <v>36</v>
      </c>
      <c r="F25" s="29">
        <f>F4</f>
        <v>4125</v>
      </c>
      <c r="G25" s="29">
        <f>$B$22*2</f>
        <v>4</v>
      </c>
      <c r="H25" s="19">
        <f aca="true" t="shared" si="9" ref="H25:H39">(C25/1000*E25/1000)*$H$1*1000</f>
        <v>127.16999999999997</v>
      </c>
      <c r="I25" s="19">
        <f aca="true" t="shared" si="10" ref="I25:I39">F25/1000*H25</f>
        <v>524.5762499999998</v>
      </c>
      <c r="J25" s="19">
        <f aca="true" t="shared" si="11" ref="J25:J39">I25*G25</f>
        <v>2098.3049999999994</v>
      </c>
      <c r="L25" s="19"/>
      <c r="M25" s="19"/>
      <c r="N25" s="19"/>
      <c r="O25" s="23"/>
      <c r="P25" s="19"/>
      <c r="Q25" s="19"/>
      <c r="R25" s="19"/>
      <c r="S25" s="19"/>
      <c r="T25" s="19"/>
      <c r="U25" s="19"/>
      <c r="V25" s="19"/>
      <c r="W25" s="19"/>
    </row>
    <row r="26" spans="1:24" ht="12">
      <c r="A26" s="19"/>
      <c r="B26" s="19"/>
      <c r="C26" s="29">
        <f>'主桁'!B407</f>
        <v>510</v>
      </c>
      <c r="D26" s="31" t="s">
        <v>1276</v>
      </c>
      <c r="E26" s="29">
        <f>'主桁'!D407</f>
        <v>36</v>
      </c>
      <c r="F26" s="29">
        <f>F5</f>
        <v>8250</v>
      </c>
      <c r="G26" s="29">
        <f>$B$22*2</f>
        <v>4</v>
      </c>
      <c r="H26" s="19">
        <f t="shared" si="9"/>
        <v>144.12599999999998</v>
      </c>
      <c r="I26" s="19">
        <f t="shared" si="10"/>
        <v>1189.0394999999999</v>
      </c>
      <c r="J26" s="19">
        <f t="shared" si="11"/>
        <v>4756.157999999999</v>
      </c>
      <c r="V26" s="2" t="s">
        <v>1372</v>
      </c>
      <c r="W26" s="2">
        <f>SUM(W18:W24)</f>
        <v>14700.322650999999</v>
      </c>
      <c r="X26" s="2" t="s">
        <v>1441</v>
      </c>
    </row>
    <row r="27" spans="1:24" ht="12">
      <c r="A27" s="19" t="s">
        <v>1367</v>
      </c>
      <c r="B27" s="19" t="s">
        <v>1374</v>
      </c>
      <c r="C27" s="29">
        <f>'主桁'!B408</f>
        <v>2200</v>
      </c>
      <c r="D27" s="31" t="s">
        <v>1276</v>
      </c>
      <c r="E27" s="29">
        <f>'主桁'!D408</f>
        <v>10</v>
      </c>
      <c r="F27" s="29">
        <f>F6</f>
        <v>33000</v>
      </c>
      <c r="G27" s="29">
        <f>B22</f>
        <v>2</v>
      </c>
      <c r="H27" s="19">
        <f t="shared" si="9"/>
        <v>172.7</v>
      </c>
      <c r="I27" s="19">
        <f t="shared" si="10"/>
        <v>5699.099999999999</v>
      </c>
      <c r="J27" s="19">
        <f t="shared" si="11"/>
        <v>11398.199999999999</v>
      </c>
      <c r="W27" s="2">
        <f>W26/1000</f>
        <v>14.700322650999999</v>
      </c>
      <c r="X27" s="2" t="s">
        <v>1290</v>
      </c>
    </row>
    <row r="28" spans="1:10" ht="12">
      <c r="A28" s="19" t="s">
        <v>1368</v>
      </c>
      <c r="B28" s="19" t="s">
        <v>1374</v>
      </c>
      <c r="C28" s="29">
        <f>'継手中桁'!B94</f>
        <v>180</v>
      </c>
      <c r="D28" s="31" t="s">
        <v>1276</v>
      </c>
      <c r="E28" s="29">
        <f>'継手中桁'!D94</f>
        <v>10</v>
      </c>
      <c r="F28" s="29">
        <f>'継手中桁'!F94</f>
        <v>615</v>
      </c>
      <c r="G28" s="69">
        <v>16</v>
      </c>
      <c r="H28" s="19">
        <f t="shared" si="9"/>
        <v>14.129999999999997</v>
      </c>
      <c r="I28" s="19">
        <f t="shared" si="10"/>
        <v>8.689949999999998</v>
      </c>
      <c r="J28" s="19">
        <f t="shared" si="11"/>
        <v>139.03919999999997</v>
      </c>
    </row>
    <row r="29" spans="1:12" ht="12">
      <c r="A29" s="19"/>
      <c r="B29" s="19" t="s">
        <v>1374</v>
      </c>
      <c r="C29" s="29">
        <f>'継手中桁'!B95</f>
        <v>1720</v>
      </c>
      <c r="D29" s="31" t="s">
        <v>1276</v>
      </c>
      <c r="E29" s="29">
        <f>'継手中桁'!D95</f>
        <v>10</v>
      </c>
      <c r="F29" s="29">
        <f>'継手中桁'!F95</f>
        <v>315</v>
      </c>
      <c r="G29" s="69">
        <v>8</v>
      </c>
      <c r="H29" s="19">
        <f t="shared" si="9"/>
        <v>135.02</v>
      </c>
      <c r="I29" s="19">
        <f t="shared" si="10"/>
        <v>42.5313</v>
      </c>
      <c r="J29" s="19">
        <f t="shared" si="11"/>
        <v>340.2504</v>
      </c>
      <c r="L29" s="2" t="s">
        <v>1215</v>
      </c>
    </row>
    <row r="30" spans="1:23" ht="12">
      <c r="A30" s="19"/>
      <c r="B30" s="19" t="s">
        <v>1375</v>
      </c>
      <c r="C30" s="29">
        <f>'継手中桁'!C140*10</f>
        <v>510</v>
      </c>
      <c r="D30" s="31" t="s">
        <v>1276</v>
      </c>
      <c r="E30" s="29">
        <f>'継手中桁'!E140*10</f>
        <v>18</v>
      </c>
      <c r="F30" s="29">
        <f>'継手中桁'!G140*10</f>
        <v>915</v>
      </c>
      <c r="G30" s="69">
        <v>4</v>
      </c>
      <c r="H30" s="19">
        <f t="shared" si="9"/>
        <v>72.06299999999999</v>
      </c>
      <c r="I30" s="19">
        <f t="shared" si="10"/>
        <v>65.93764499999999</v>
      </c>
      <c r="J30" s="19">
        <f t="shared" si="11"/>
        <v>263.75057999999996</v>
      </c>
      <c r="L30" s="19" t="s">
        <v>1358</v>
      </c>
      <c r="M30" s="19" t="s">
        <v>1359</v>
      </c>
      <c r="N30" s="19" t="s">
        <v>1360</v>
      </c>
      <c r="O30" s="19"/>
      <c r="P30" s="19"/>
      <c r="Q30" s="19"/>
      <c r="R30" s="19"/>
      <c r="S30" s="19" t="s">
        <v>1361</v>
      </c>
      <c r="T30" s="19" t="s">
        <v>1362</v>
      </c>
      <c r="U30" s="19" t="s">
        <v>1363</v>
      </c>
      <c r="V30" s="19" t="s">
        <v>1364</v>
      </c>
      <c r="W30" s="19" t="s">
        <v>1365</v>
      </c>
    </row>
    <row r="31" spans="1:23" ht="12">
      <c r="A31" s="19"/>
      <c r="B31" s="19"/>
      <c r="C31" s="29">
        <f>'継手中桁'!C141*10</f>
        <v>210</v>
      </c>
      <c r="D31" s="31" t="s">
        <v>1276</v>
      </c>
      <c r="E31" s="29">
        <f>'継手中桁'!E141*10</f>
        <v>18</v>
      </c>
      <c r="F31" s="29">
        <f>'継手中桁'!G141*10</f>
        <v>915</v>
      </c>
      <c r="G31" s="69">
        <v>8</v>
      </c>
      <c r="H31" s="19">
        <f t="shared" si="9"/>
        <v>29.673</v>
      </c>
      <c r="I31" s="19">
        <f t="shared" si="10"/>
        <v>27.150795</v>
      </c>
      <c r="J31" s="19">
        <f t="shared" si="11"/>
        <v>217.20636</v>
      </c>
      <c r="L31" s="19" t="s">
        <v>1215</v>
      </c>
      <c r="M31" s="19" t="s">
        <v>1222</v>
      </c>
      <c r="N31" s="24">
        <v>130</v>
      </c>
      <c r="O31" s="55" t="s">
        <v>1276</v>
      </c>
      <c r="P31" s="55">
        <v>130</v>
      </c>
      <c r="Q31" s="55" t="s">
        <v>1276</v>
      </c>
      <c r="R31" s="24">
        <v>15</v>
      </c>
      <c r="S31" s="24">
        <v>3006.7</v>
      </c>
      <c r="T31" s="32">
        <v>10</v>
      </c>
      <c r="U31" s="19">
        <f>(N31/1000*R31/1000)*$H$1*1000</f>
        <v>15.3075</v>
      </c>
      <c r="V31" s="19">
        <f>S31/1000*U31</f>
        <v>46.025060249999996</v>
      </c>
      <c r="W31" s="19">
        <f>V31*T31</f>
        <v>460.25060249999996</v>
      </c>
    </row>
    <row r="32" spans="1:23" ht="12">
      <c r="A32" s="19"/>
      <c r="B32" s="19" t="s">
        <v>1376</v>
      </c>
      <c r="C32" s="29">
        <f>'継手中桁'!C197*10</f>
        <v>510</v>
      </c>
      <c r="D32" s="31" t="s">
        <v>1276</v>
      </c>
      <c r="E32" s="29">
        <f>'継手中桁'!E197*10</f>
        <v>22</v>
      </c>
      <c r="F32" s="29">
        <f>'継手中桁'!G197*10</f>
        <v>765</v>
      </c>
      <c r="G32" s="69">
        <v>4</v>
      </c>
      <c r="H32" s="19">
        <f t="shared" si="9"/>
        <v>88.077</v>
      </c>
      <c r="I32" s="19">
        <f t="shared" si="10"/>
        <v>67.378905</v>
      </c>
      <c r="J32" s="19">
        <f t="shared" si="11"/>
        <v>269.51562</v>
      </c>
      <c r="L32" s="19"/>
      <c r="M32" s="19" t="s">
        <v>1222</v>
      </c>
      <c r="N32" s="24">
        <v>130</v>
      </c>
      <c r="O32" s="55" t="s">
        <v>1276</v>
      </c>
      <c r="P32" s="55">
        <v>130</v>
      </c>
      <c r="Q32" s="55" t="s">
        <v>1276</v>
      </c>
      <c r="R32" s="24">
        <v>15</v>
      </c>
      <c r="S32" s="24">
        <v>3006.7</v>
      </c>
      <c r="T32" s="32">
        <v>16</v>
      </c>
      <c r="U32" s="19">
        <f>(N32/1000*R32/1000)*$H$1*1000</f>
        <v>15.3075</v>
      </c>
      <c r="V32" s="19">
        <f aca="true" t="shared" si="12" ref="V32:V38">S32/1000*U32</f>
        <v>46.025060249999996</v>
      </c>
      <c r="W32" s="19">
        <f aca="true" t="shared" si="13" ref="W32:W38">V32*T32</f>
        <v>736.4009639999999</v>
      </c>
    </row>
    <row r="33" spans="1:23" ht="12">
      <c r="A33" s="19"/>
      <c r="B33" s="19"/>
      <c r="C33" s="29">
        <f>'継手中桁'!C198*10</f>
        <v>230</v>
      </c>
      <c r="D33" s="31" t="s">
        <v>1276</v>
      </c>
      <c r="E33" s="29">
        <f>'継手中桁'!E198*10</f>
        <v>22</v>
      </c>
      <c r="F33" s="29">
        <f>'継手中桁'!G198*10</f>
        <v>765</v>
      </c>
      <c r="G33" s="69">
        <v>8</v>
      </c>
      <c r="H33" s="19">
        <f t="shared" si="9"/>
        <v>39.721</v>
      </c>
      <c r="I33" s="19">
        <f t="shared" si="10"/>
        <v>30.386564999999997</v>
      </c>
      <c r="J33" s="19">
        <f t="shared" si="11"/>
        <v>243.09251999999998</v>
      </c>
      <c r="L33" s="19"/>
      <c r="M33" s="19" t="s">
        <v>1222</v>
      </c>
      <c r="N33" s="24">
        <v>130</v>
      </c>
      <c r="O33" s="55" t="s">
        <v>1276</v>
      </c>
      <c r="P33" s="55">
        <v>130</v>
      </c>
      <c r="Q33" s="55" t="s">
        <v>1276</v>
      </c>
      <c r="R33" s="24">
        <v>15</v>
      </c>
      <c r="S33" s="24">
        <v>3006.7</v>
      </c>
      <c r="T33" s="32">
        <v>4</v>
      </c>
      <c r="U33" s="19">
        <f>(N33/1000*R33/1000)*$H$1*1000</f>
        <v>15.3075</v>
      </c>
      <c r="V33" s="19">
        <f t="shared" si="12"/>
        <v>46.025060249999996</v>
      </c>
      <c r="W33" s="19">
        <f t="shared" si="13"/>
        <v>184.10024099999998</v>
      </c>
    </row>
    <row r="34" spans="1:23" ht="12">
      <c r="A34" s="19" t="s">
        <v>1369</v>
      </c>
      <c r="B34" s="19" t="s">
        <v>1374</v>
      </c>
      <c r="C34" s="69" t="s">
        <v>1415</v>
      </c>
      <c r="D34" s="23" t="s">
        <v>1276</v>
      </c>
      <c r="E34" s="69"/>
      <c r="F34" s="29">
        <f>'継手中桁'!D94+'継手中桁'!D95+'主桁'!E399*10+40</f>
        <v>70</v>
      </c>
      <c r="G34" s="69">
        <f>(('継手中桁'!C34+1)*4+('継手中桁'!C51+1)*2*2*2)*2*'材料表'!B22</f>
        <v>336</v>
      </c>
      <c r="H34" s="19"/>
      <c r="I34" s="69">
        <v>0.555</v>
      </c>
      <c r="J34" s="19">
        <f>I34*G34</f>
        <v>186.48000000000002</v>
      </c>
      <c r="L34" s="19" t="s">
        <v>1218</v>
      </c>
      <c r="M34" s="19"/>
      <c r="N34" s="24">
        <v>350</v>
      </c>
      <c r="O34" s="55" t="s">
        <v>1276</v>
      </c>
      <c r="P34" s="55">
        <v>10</v>
      </c>
      <c r="Q34" s="55"/>
      <c r="R34" s="24"/>
      <c r="S34" s="24">
        <v>375</v>
      </c>
      <c r="T34" s="32">
        <v>4</v>
      </c>
      <c r="U34" s="19">
        <f>(N34/1000*P34/1000)*$H$1*1000</f>
        <v>27.474999999999998</v>
      </c>
      <c r="V34" s="19">
        <f t="shared" si="12"/>
        <v>10.303125</v>
      </c>
      <c r="W34" s="19">
        <f t="shared" si="13"/>
        <v>41.2125</v>
      </c>
    </row>
    <row r="35" spans="1:23" ht="12">
      <c r="A35" s="19"/>
      <c r="B35" s="19" t="s">
        <v>1375</v>
      </c>
      <c r="C35" s="69" t="s">
        <v>1415</v>
      </c>
      <c r="D35" s="23" t="s">
        <v>1276</v>
      </c>
      <c r="E35" s="69"/>
      <c r="F35" s="29">
        <f>'継手中桁'!B136+'継手中桁'!B137+'継手中桁'!B138+40</f>
        <v>112</v>
      </c>
      <c r="G35" s="69">
        <f>'継手中桁'!B155*2*'材料表'!B22*2</f>
        <v>208</v>
      </c>
      <c r="H35" s="19"/>
      <c r="I35" s="69">
        <v>0.674</v>
      </c>
      <c r="J35" s="19">
        <f t="shared" si="11"/>
        <v>140.192</v>
      </c>
      <c r="L35" s="19"/>
      <c r="M35" s="19"/>
      <c r="N35" s="24">
        <v>355</v>
      </c>
      <c r="O35" s="55" t="s">
        <v>1276</v>
      </c>
      <c r="P35" s="55">
        <v>10</v>
      </c>
      <c r="Q35" s="55"/>
      <c r="R35" s="24"/>
      <c r="S35" s="24">
        <v>825</v>
      </c>
      <c r="T35" s="32">
        <v>4</v>
      </c>
      <c r="U35" s="19">
        <f>(N35/1000*P35/1000)*$H$1*1000</f>
        <v>27.867499999999996</v>
      </c>
      <c r="V35" s="19">
        <f>S35/1000*U35</f>
        <v>22.990687499999996</v>
      </c>
      <c r="W35" s="19">
        <f>V35*T35</f>
        <v>91.96274999999999</v>
      </c>
    </row>
    <row r="36" spans="1:23" ht="12">
      <c r="A36" s="19"/>
      <c r="B36" s="19" t="s">
        <v>1376</v>
      </c>
      <c r="C36" s="69" t="s">
        <v>1415</v>
      </c>
      <c r="D36" s="23" t="s">
        <v>1276</v>
      </c>
      <c r="E36" s="69"/>
      <c r="F36" s="29">
        <f>'継手中桁'!B184+'継手中桁'!B185+'継手中桁'!B186+40</f>
        <v>120</v>
      </c>
      <c r="G36" s="69">
        <f>'継手中桁'!B155*2*'材料表'!B22*2</f>
        <v>208</v>
      </c>
      <c r="H36" s="19"/>
      <c r="I36" s="69">
        <v>0.719</v>
      </c>
      <c r="J36" s="19">
        <f t="shared" si="11"/>
        <v>149.552</v>
      </c>
      <c r="L36" s="19"/>
      <c r="M36" s="19"/>
      <c r="N36" s="24">
        <v>360</v>
      </c>
      <c r="O36" s="55" t="s">
        <v>1276</v>
      </c>
      <c r="P36" s="55">
        <v>10</v>
      </c>
      <c r="Q36" s="55"/>
      <c r="R36" s="24"/>
      <c r="S36" s="24">
        <v>512.5</v>
      </c>
      <c r="T36" s="32">
        <v>4</v>
      </c>
      <c r="U36" s="19">
        <f>(N36/1000*P36/1000)*$H$1*1000</f>
        <v>28.259999999999994</v>
      </c>
      <c r="V36" s="19">
        <f>S36/1000*U36</f>
        <v>14.483249999999996</v>
      </c>
      <c r="W36" s="19">
        <f>V36*T36</f>
        <v>57.932999999999986</v>
      </c>
    </row>
    <row r="37" spans="1:23" ht="12">
      <c r="A37" s="19" t="s">
        <v>1370</v>
      </c>
      <c r="B37" s="19" t="s">
        <v>1377</v>
      </c>
      <c r="C37" s="29">
        <f>'補剛材'!A19</f>
        <v>130</v>
      </c>
      <c r="D37" s="23" t="s">
        <v>1276</v>
      </c>
      <c r="E37" s="29">
        <f>'補剛材'!C19</f>
        <v>16</v>
      </c>
      <c r="F37" s="29">
        <f>'補剛材'!C9</f>
        <v>2200</v>
      </c>
      <c r="G37" s="72">
        <f>2*2*B22</f>
        <v>8</v>
      </c>
      <c r="H37" s="19">
        <f t="shared" si="9"/>
        <v>16.328000000000003</v>
      </c>
      <c r="I37" s="19">
        <f t="shared" si="10"/>
        <v>35.92160000000001</v>
      </c>
      <c r="J37" s="19">
        <f t="shared" si="11"/>
        <v>287.3728000000001</v>
      </c>
      <c r="L37" s="19"/>
      <c r="M37" s="19"/>
      <c r="N37" s="24">
        <v>355</v>
      </c>
      <c r="O37" s="55" t="s">
        <v>1276</v>
      </c>
      <c r="P37" s="55">
        <v>10</v>
      </c>
      <c r="Q37" s="55"/>
      <c r="R37" s="24"/>
      <c r="S37" s="24">
        <v>642.5</v>
      </c>
      <c r="T37" s="32">
        <v>10</v>
      </c>
      <c r="U37" s="19">
        <f>(N37/1000*P37/1000)*$H$1*1000</f>
        <v>27.867499999999996</v>
      </c>
      <c r="V37" s="19">
        <f t="shared" si="12"/>
        <v>17.904868749999995</v>
      </c>
      <c r="W37" s="19">
        <f t="shared" si="13"/>
        <v>179.04868749999994</v>
      </c>
    </row>
    <row r="38" spans="1:23" ht="12">
      <c r="A38" s="19"/>
      <c r="B38" s="19" t="s">
        <v>1378</v>
      </c>
      <c r="C38" s="29">
        <f>'補剛材'!A71</f>
        <v>130</v>
      </c>
      <c r="D38" s="23" t="s">
        <v>1276</v>
      </c>
      <c r="E38" s="29">
        <f>'補剛材'!C71</f>
        <v>12</v>
      </c>
      <c r="F38" s="29">
        <f>'補剛材'!C9-35</f>
        <v>2165</v>
      </c>
      <c r="G38" s="69">
        <v>28</v>
      </c>
      <c r="H38" s="19">
        <f t="shared" si="9"/>
        <v>12.246</v>
      </c>
      <c r="I38" s="19">
        <f t="shared" si="10"/>
        <v>26.512590000000003</v>
      </c>
      <c r="J38" s="19">
        <f t="shared" si="11"/>
        <v>742.3525200000001</v>
      </c>
      <c r="L38" s="19"/>
      <c r="M38" s="19"/>
      <c r="N38" s="24">
        <v>316</v>
      </c>
      <c r="O38" s="55" t="s">
        <v>1276</v>
      </c>
      <c r="P38" s="55">
        <v>10</v>
      </c>
      <c r="Q38" s="55"/>
      <c r="R38" s="24"/>
      <c r="S38" s="24">
        <v>720</v>
      </c>
      <c r="T38" s="32">
        <v>12</v>
      </c>
      <c r="U38" s="19">
        <f>(N38/1000*P38/1000)*$H$1*1000</f>
        <v>24.805999999999997</v>
      </c>
      <c r="V38" s="19">
        <f t="shared" si="12"/>
        <v>17.860319999999998</v>
      </c>
      <c r="W38" s="19">
        <f t="shared" si="13"/>
        <v>214.32383999999996</v>
      </c>
    </row>
    <row r="39" spans="1:23" ht="12">
      <c r="A39" s="19" t="s">
        <v>1371</v>
      </c>
      <c r="B39" s="19"/>
      <c r="C39" s="29">
        <f>'補剛材'!B189</f>
        <v>130</v>
      </c>
      <c r="D39" s="23" t="s">
        <v>1276</v>
      </c>
      <c r="E39" s="29">
        <f>'補剛材'!D189</f>
        <v>36</v>
      </c>
      <c r="F39" s="29">
        <f>F18</f>
        <v>32400</v>
      </c>
      <c r="G39" s="29">
        <f>B22*1</f>
        <v>2</v>
      </c>
      <c r="H39" s="19">
        <f t="shared" si="9"/>
        <v>36.738</v>
      </c>
      <c r="I39" s="19">
        <f t="shared" si="10"/>
        <v>1190.3111999999999</v>
      </c>
      <c r="J39" s="19">
        <f t="shared" si="11"/>
        <v>2380.6223999999997</v>
      </c>
      <c r="L39" s="19" t="s">
        <v>1369</v>
      </c>
      <c r="M39" s="19"/>
      <c r="N39" s="71" t="s">
        <v>1416</v>
      </c>
      <c r="O39" s="55" t="s">
        <v>1276</v>
      </c>
      <c r="P39" s="55"/>
      <c r="Q39" s="55"/>
      <c r="R39" s="24"/>
      <c r="S39" s="24">
        <f>P34+R31+40</f>
        <v>65</v>
      </c>
      <c r="T39" s="69">
        <v>50</v>
      </c>
      <c r="U39" s="19"/>
      <c r="V39" s="69">
        <v>0.555</v>
      </c>
      <c r="W39" s="19">
        <f>V39*T39</f>
        <v>27.750000000000004</v>
      </c>
    </row>
    <row r="40" spans="1:23" ht="12">
      <c r="A40" s="19"/>
      <c r="B40" s="19"/>
      <c r="C40" s="19"/>
      <c r="D40" s="23"/>
      <c r="E40" s="19"/>
      <c r="F40" s="19"/>
      <c r="G40" s="19"/>
      <c r="H40" s="19"/>
      <c r="I40" s="19"/>
      <c r="J40" s="19"/>
      <c r="L40" s="19"/>
      <c r="M40" s="19"/>
      <c r="N40" s="19"/>
      <c r="O40" s="23"/>
      <c r="P40" s="23"/>
      <c r="Q40" s="23"/>
      <c r="R40" s="19"/>
      <c r="S40" s="19"/>
      <c r="T40" s="19"/>
      <c r="U40" s="19"/>
      <c r="V40" s="19"/>
      <c r="W40" s="19"/>
    </row>
    <row r="41" spans="9:22" ht="12">
      <c r="I41" s="2" t="s">
        <v>1372</v>
      </c>
      <c r="J41" s="2">
        <f>SUM(J24:J40)</f>
        <v>24917.701399999994</v>
      </c>
      <c r="K41" s="2" t="s">
        <v>1441</v>
      </c>
      <c r="T41" s="2" t="s">
        <v>1372</v>
      </c>
      <c r="U41" s="2">
        <f>SUM(W31:W39)</f>
        <v>1992.9825849999997</v>
      </c>
      <c r="V41" s="2" t="s">
        <v>1441</v>
      </c>
    </row>
    <row r="42" spans="1:22" ht="12">
      <c r="A42" s="22"/>
      <c r="B42" s="22"/>
      <c r="C42" s="22"/>
      <c r="D42" s="22"/>
      <c r="E42" s="22"/>
      <c r="F42" s="22"/>
      <c r="G42" s="22"/>
      <c r="H42" s="22"/>
      <c r="J42" s="2">
        <f>J41/1000</f>
        <v>24.917701399999995</v>
      </c>
      <c r="K42" s="2" t="s">
        <v>1290</v>
      </c>
      <c r="U42" s="2">
        <f>U41/1000</f>
        <v>1.9929825849999998</v>
      </c>
      <c r="V42" s="2" t="s">
        <v>1290</v>
      </c>
    </row>
    <row r="43" spans="1:17" ht="12">
      <c r="A43" s="2" t="s">
        <v>1214</v>
      </c>
      <c r="Q43" s="2" t="s">
        <v>1410</v>
      </c>
    </row>
    <row r="44" spans="1:20" ht="12">
      <c r="A44" s="19" t="s">
        <v>1358</v>
      </c>
      <c r="B44" s="19" t="s">
        <v>1359</v>
      </c>
      <c r="C44" s="19" t="s">
        <v>1360</v>
      </c>
      <c r="D44" s="19"/>
      <c r="E44" s="19"/>
      <c r="F44" s="19" t="s">
        <v>1361</v>
      </c>
      <c r="G44" s="19" t="s">
        <v>1362</v>
      </c>
      <c r="H44" s="19" t="s">
        <v>1363</v>
      </c>
      <c r="I44" s="19" t="s">
        <v>1364</v>
      </c>
      <c r="J44" s="19" t="s">
        <v>1365</v>
      </c>
      <c r="L44" s="19" t="s">
        <v>1331</v>
      </c>
      <c r="M44" s="56">
        <f>J20</f>
        <v>24384.216539999998</v>
      </c>
      <c r="N44" s="2" t="s">
        <v>1441</v>
      </c>
      <c r="O44" s="19">
        <f>M44/1000</f>
        <v>24.384216539999997</v>
      </c>
      <c r="P44" s="2" t="s">
        <v>1290</v>
      </c>
      <c r="Q44" s="2" t="s">
        <v>1411</v>
      </c>
      <c r="R44" s="10"/>
      <c r="S44" s="10"/>
      <c r="T44" s="10"/>
    </row>
    <row r="45" spans="1:22" ht="12">
      <c r="A45" s="19" t="s">
        <v>1366</v>
      </c>
      <c r="B45" s="19" t="s">
        <v>1438</v>
      </c>
      <c r="C45" s="24">
        <f>'横桁'!B12</f>
        <v>220</v>
      </c>
      <c r="D45" s="55" t="s">
        <v>1276</v>
      </c>
      <c r="E45" s="24">
        <f>'横桁'!D12</f>
        <v>36</v>
      </c>
      <c r="F45" s="24">
        <v>1560</v>
      </c>
      <c r="G45" s="29">
        <f>2*$B$1</f>
        <v>4</v>
      </c>
      <c r="H45" s="19">
        <f>(C45/1000*E45/1000)*$H$1*1000</f>
        <v>62.172</v>
      </c>
      <c r="I45" s="19">
        <f>F45/1000*H45</f>
        <v>96.98832</v>
      </c>
      <c r="J45" s="19">
        <f>I45*G45</f>
        <v>387.95328</v>
      </c>
      <c r="L45" s="19" t="s">
        <v>1328</v>
      </c>
      <c r="M45" s="56">
        <f>J41</f>
        <v>24917.701399999994</v>
      </c>
      <c r="N45" s="2" t="s">
        <v>1441</v>
      </c>
      <c r="O45" s="19">
        <f aca="true" t="shared" si="14" ref="O45:O50">M45/1000</f>
        <v>24.917701399999995</v>
      </c>
      <c r="P45" s="2" t="s">
        <v>1290</v>
      </c>
      <c r="Q45" s="2" t="s">
        <v>1412</v>
      </c>
      <c r="R45" s="2">
        <f>O50</f>
        <v>76.26543237607999</v>
      </c>
      <c r="S45" s="2" t="s">
        <v>1299</v>
      </c>
      <c r="U45" s="10"/>
      <c r="V45" s="10"/>
    </row>
    <row r="46" spans="1:20" ht="12">
      <c r="A46" s="19"/>
      <c r="B46" s="19">
        <v>2</v>
      </c>
      <c r="C46" s="24">
        <f>C45</f>
        <v>220</v>
      </c>
      <c r="D46" s="55" t="s">
        <v>1276</v>
      </c>
      <c r="E46" s="24">
        <f>E45</f>
        <v>36</v>
      </c>
      <c r="F46" s="24">
        <v>1150</v>
      </c>
      <c r="G46" s="29">
        <f>2*$B$1</f>
        <v>4</v>
      </c>
      <c r="H46" s="19">
        <f aca="true" t="shared" si="15" ref="H46:H55">(C46/1000*E46/1000)*$H$1*1000</f>
        <v>62.172</v>
      </c>
      <c r="I46" s="19">
        <f aca="true" t="shared" si="16" ref="I46:I55">F46/1000*H46</f>
        <v>71.4978</v>
      </c>
      <c r="J46" s="19">
        <f aca="true" t="shared" si="17" ref="J46:J54">I46*G46</f>
        <v>285.9912</v>
      </c>
      <c r="L46" s="19" t="s">
        <v>1214</v>
      </c>
      <c r="M46" s="56">
        <f>J62</f>
        <v>3416.313039999999</v>
      </c>
      <c r="N46" s="2" t="s">
        <v>1441</v>
      </c>
      <c r="O46" s="19">
        <f t="shared" si="14"/>
        <v>3.416313039999999</v>
      </c>
      <c r="P46" s="2" t="s">
        <v>1290</v>
      </c>
      <c r="Q46" s="2" t="s">
        <v>1413</v>
      </c>
      <c r="T46" s="2">
        <f>ROUND(R45/(R47*R48),3)</f>
        <v>0.3</v>
      </c>
    </row>
    <row r="47" spans="1:21" ht="12">
      <c r="A47" s="19"/>
      <c r="B47" s="19">
        <v>1</v>
      </c>
      <c r="C47" s="24">
        <f>C45</f>
        <v>220</v>
      </c>
      <c r="D47" s="55" t="s">
        <v>1276</v>
      </c>
      <c r="E47" s="24">
        <f>E45</f>
        <v>36</v>
      </c>
      <c r="F47" s="24">
        <v>1150</v>
      </c>
      <c r="G47" s="29">
        <v>2</v>
      </c>
      <c r="H47" s="19">
        <f t="shared" si="15"/>
        <v>62.172</v>
      </c>
      <c r="I47" s="19">
        <f t="shared" si="16"/>
        <v>71.4978</v>
      </c>
      <c r="J47" s="19">
        <f t="shared" si="17"/>
        <v>142.9956</v>
      </c>
      <c r="L47" s="19" t="s">
        <v>766</v>
      </c>
      <c r="M47" s="56">
        <f>Y13</f>
        <v>6853.8961600799985</v>
      </c>
      <c r="N47" s="2" t="s">
        <v>1441</v>
      </c>
      <c r="O47" s="19">
        <f t="shared" si="14"/>
        <v>6.853896160079999</v>
      </c>
      <c r="P47" s="2" t="s">
        <v>1290</v>
      </c>
      <c r="Q47" s="2" t="s">
        <v>1448</v>
      </c>
      <c r="R47" s="2">
        <f>'実鋼重'!B113</f>
        <v>7.6</v>
      </c>
      <c r="S47" s="2" t="s">
        <v>1265</v>
      </c>
      <c r="U47" s="2" t="s">
        <v>1284</v>
      </c>
    </row>
    <row r="48" spans="1:19" ht="12">
      <c r="A48" s="19" t="s">
        <v>1367</v>
      </c>
      <c r="B48" s="19" t="s">
        <v>1374</v>
      </c>
      <c r="C48" s="24">
        <f>'横桁'!B13</f>
        <v>1430</v>
      </c>
      <c r="D48" s="55" t="s">
        <v>1276</v>
      </c>
      <c r="E48" s="24">
        <f>'横桁'!D13</f>
        <v>36</v>
      </c>
      <c r="F48" s="24">
        <v>1655</v>
      </c>
      <c r="G48" s="29">
        <v>2</v>
      </c>
      <c r="H48" s="19">
        <f t="shared" si="15"/>
        <v>404.118</v>
      </c>
      <c r="I48" s="19">
        <f t="shared" si="16"/>
        <v>668.81529</v>
      </c>
      <c r="J48" s="19">
        <f t="shared" si="17"/>
        <v>1337.63058</v>
      </c>
      <c r="L48" s="29" t="s">
        <v>1066</v>
      </c>
      <c r="M48" s="56">
        <f>W26</f>
        <v>14700.322650999999</v>
      </c>
      <c r="N48" s="2" t="s">
        <v>1441</v>
      </c>
      <c r="O48" s="19">
        <f t="shared" si="14"/>
        <v>14.700322650999999</v>
      </c>
      <c r="P48" s="2" t="s">
        <v>1290</v>
      </c>
      <c r="Q48" s="2" t="s">
        <v>1446</v>
      </c>
      <c r="R48" s="2">
        <f>'実鋼重'!B114</f>
        <v>33.5</v>
      </c>
      <c r="S48" s="2" t="s">
        <v>1265</v>
      </c>
    </row>
    <row r="49" spans="1:20" ht="12">
      <c r="A49" s="19"/>
      <c r="B49" s="19"/>
      <c r="C49" s="24">
        <f>C48</f>
        <v>1430</v>
      </c>
      <c r="D49" s="55" t="s">
        <v>1276</v>
      </c>
      <c r="E49" s="24">
        <f>E48</f>
        <v>36</v>
      </c>
      <c r="F49" s="24">
        <v>1150</v>
      </c>
      <c r="G49" s="29">
        <v>2</v>
      </c>
      <c r="H49" s="19"/>
      <c r="I49" s="19"/>
      <c r="J49" s="19"/>
      <c r="L49" s="19" t="s">
        <v>1215</v>
      </c>
      <c r="M49" s="56">
        <f>U41</f>
        <v>1992.9825849999997</v>
      </c>
      <c r="N49" s="2" t="s">
        <v>1441</v>
      </c>
      <c r="O49" s="19">
        <f t="shared" si="14"/>
        <v>1.9929825849999998</v>
      </c>
      <c r="P49" s="2" t="s">
        <v>1290</v>
      </c>
      <c r="Q49" s="2" t="s">
        <v>1442</v>
      </c>
      <c r="T49" s="64">
        <f>'実鋼重'!D115</f>
        <v>0.251</v>
      </c>
    </row>
    <row r="50" spans="1:21" ht="12">
      <c r="A50" s="19"/>
      <c r="B50" s="19"/>
      <c r="C50" s="24">
        <f>C49</f>
        <v>1430</v>
      </c>
      <c r="D50" s="55" t="s">
        <v>1276</v>
      </c>
      <c r="E50" s="24">
        <f>E48</f>
        <v>36</v>
      </c>
      <c r="F50" s="24">
        <v>1150</v>
      </c>
      <c r="G50" s="29">
        <v>1</v>
      </c>
      <c r="H50" s="19"/>
      <c r="I50" s="19"/>
      <c r="J50" s="19"/>
      <c r="L50" s="19" t="s">
        <v>1223</v>
      </c>
      <c r="M50" s="56">
        <f>SUM(M44:M49)</f>
        <v>76265.43237607999</v>
      </c>
      <c r="N50" s="2" t="s">
        <v>1441</v>
      </c>
      <c r="O50" s="19">
        <f t="shared" si="14"/>
        <v>76.26543237607999</v>
      </c>
      <c r="P50" s="2" t="s">
        <v>1290</v>
      </c>
      <c r="Q50" s="2" t="s">
        <v>1414</v>
      </c>
      <c r="U50" s="2" t="s">
        <v>1284</v>
      </c>
    </row>
    <row r="51" spans="1:22" ht="12">
      <c r="A51" s="19" t="s">
        <v>1368</v>
      </c>
      <c r="B51" s="19" t="s">
        <v>1439</v>
      </c>
      <c r="C51" s="24">
        <f>'横桁'!A106</f>
        <v>1320</v>
      </c>
      <c r="D51" s="55" t="s">
        <v>1276</v>
      </c>
      <c r="E51" s="24">
        <f>'横桁'!E106</f>
        <v>36</v>
      </c>
      <c r="F51" s="24">
        <v>315</v>
      </c>
      <c r="G51" s="32">
        <v>8</v>
      </c>
      <c r="H51" s="19">
        <f t="shared" si="15"/>
        <v>373.032</v>
      </c>
      <c r="I51" s="19">
        <f t="shared" si="16"/>
        <v>117.50507999999999</v>
      </c>
      <c r="J51" s="19">
        <f t="shared" si="17"/>
        <v>940.0406399999999</v>
      </c>
      <c r="Q51" s="2">
        <f>ROUND(ABS((T46-T49-10)/T46)*100,1)</f>
        <v>3317</v>
      </c>
      <c r="R51" s="2" t="s">
        <v>1449</v>
      </c>
      <c r="S51" s="5" t="str">
        <f>IF(Q51&lt;=T51,"≦","&gt;")</f>
        <v>&gt;</v>
      </c>
      <c r="T51" s="64">
        <v>5</v>
      </c>
      <c r="U51" s="2" t="s">
        <v>1449</v>
      </c>
      <c r="V51" s="9" t="str">
        <f>IF(Q51&gt;=T51,"OK","NG")</f>
        <v>OK</v>
      </c>
    </row>
    <row r="52" spans="1:10" ht="12">
      <c r="A52" s="19"/>
      <c r="B52" s="19" t="s">
        <v>1375</v>
      </c>
      <c r="C52" s="24">
        <f>'横桁'!B49</f>
        <v>220</v>
      </c>
      <c r="D52" s="55" t="s">
        <v>1276</v>
      </c>
      <c r="E52" s="24">
        <f>'横桁'!B55</f>
        <v>10</v>
      </c>
      <c r="F52" s="24">
        <v>465</v>
      </c>
      <c r="G52" s="32">
        <v>4</v>
      </c>
      <c r="H52" s="19">
        <f t="shared" si="15"/>
        <v>17.27</v>
      </c>
      <c r="I52" s="19">
        <f t="shared" si="16"/>
        <v>8.03055</v>
      </c>
      <c r="J52" s="19">
        <f t="shared" si="17"/>
        <v>32.1222</v>
      </c>
    </row>
    <row r="53" spans="1:10" ht="12">
      <c r="A53" s="19"/>
      <c r="B53" s="19"/>
      <c r="C53" s="24">
        <f>'横桁'!B49-'横桁'!B47+'横桁'!B46*2</f>
        <v>160</v>
      </c>
      <c r="D53" s="55" t="s">
        <v>1276</v>
      </c>
      <c r="E53" s="24">
        <f>'横桁'!B53</f>
        <v>10</v>
      </c>
      <c r="F53" s="24">
        <v>465</v>
      </c>
      <c r="G53" s="32">
        <v>8</v>
      </c>
      <c r="H53" s="19">
        <f t="shared" si="15"/>
        <v>12.56</v>
      </c>
      <c r="I53" s="19">
        <f t="shared" si="16"/>
        <v>5.840400000000001</v>
      </c>
      <c r="J53" s="19">
        <f t="shared" si="17"/>
        <v>46.723200000000006</v>
      </c>
    </row>
    <row r="54" spans="1:10" ht="12">
      <c r="A54" s="19"/>
      <c r="B54" s="19" t="s">
        <v>1376</v>
      </c>
      <c r="C54" s="24">
        <f>'材料表'!C52</f>
        <v>220</v>
      </c>
      <c r="D54" s="55" t="s">
        <v>1276</v>
      </c>
      <c r="E54" s="24">
        <f>E52</f>
        <v>10</v>
      </c>
      <c r="F54" s="24">
        <v>465</v>
      </c>
      <c r="G54" s="32">
        <v>4</v>
      </c>
      <c r="H54" s="19">
        <f t="shared" si="15"/>
        <v>17.27</v>
      </c>
      <c r="I54" s="19">
        <f t="shared" si="16"/>
        <v>8.03055</v>
      </c>
      <c r="J54" s="19">
        <f t="shared" si="17"/>
        <v>32.1222</v>
      </c>
    </row>
    <row r="55" spans="1:10" ht="12">
      <c r="A55" s="19"/>
      <c r="B55" s="19"/>
      <c r="C55" s="24">
        <f>C53</f>
        <v>160</v>
      </c>
      <c r="D55" s="55" t="s">
        <v>1276</v>
      </c>
      <c r="E55" s="24">
        <f>E53</f>
        <v>10</v>
      </c>
      <c r="F55" s="24">
        <v>465</v>
      </c>
      <c r="G55" s="32">
        <v>8</v>
      </c>
      <c r="H55" s="19">
        <f t="shared" si="15"/>
        <v>12.56</v>
      </c>
      <c r="I55" s="19">
        <f t="shared" si="16"/>
        <v>5.840400000000001</v>
      </c>
      <c r="J55" s="19">
        <f aca="true" t="shared" si="18" ref="J55:J60">I55*G55</f>
        <v>46.723200000000006</v>
      </c>
    </row>
    <row r="56" spans="1:10" ht="12">
      <c r="A56" s="19" t="s">
        <v>1369</v>
      </c>
      <c r="B56" s="19" t="s">
        <v>1374</v>
      </c>
      <c r="C56" s="69" t="s">
        <v>1416</v>
      </c>
      <c r="D56" s="23" t="s">
        <v>1276</v>
      </c>
      <c r="E56" s="29"/>
      <c r="F56" s="29">
        <f>'横桁'!E106+'横桁'!D13*2+40</f>
        <v>148</v>
      </c>
      <c r="G56" s="24">
        <v>36</v>
      </c>
      <c r="H56" s="19"/>
      <c r="I56" s="69">
        <v>0.555</v>
      </c>
      <c r="J56" s="19">
        <f t="shared" si="18"/>
        <v>19.98</v>
      </c>
    </row>
    <row r="57" spans="1:10" ht="12">
      <c r="A57" s="19"/>
      <c r="B57" s="19" t="s">
        <v>1375</v>
      </c>
      <c r="C57" s="69" t="s">
        <v>1416</v>
      </c>
      <c r="D57" s="23" t="s">
        <v>1276</v>
      </c>
      <c r="E57" s="29"/>
      <c r="F57" s="29">
        <f>'横桁'!B53+'横桁'!B54+'横桁'!B55+40</f>
        <v>96</v>
      </c>
      <c r="G57" s="24">
        <v>8</v>
      </c>
      <c r="H57" s="19"/>
      <c r="I57" s="69">
        <v>0.645</v>
      </c>
      <c r="J57" s="19">
        <f t="shared" si="18"/>
        <v>5.16</v>
      </c>
    </row>
    <row r="58" spans="1:10" ht="12">
      <c r="A58" s="19"/>
      <c r="B58" s="19" t="s">
        <v>1376</v>
      </c>
      <c r="C58" s="69" t="s">
        <v>1416</v>
      </c>
      <c r="D58" s="23" t="s">
        <v>1276</v>
      </c>
      <c r="E58" s="29"/>
      <c r="F58" s="29">
        <f>F57</f>
        <v>96</v>
      </c>
      <c r="G58" s="24">
        <v>8</v>
      </c>
      <c r="H58" s="19"/>
      <c r="I58" s="69">
        <v>0.689</v>
      </c>
      <c r="J58" s="19">
        <f t="shared" si="18"/>
        <v>5.512</v>
      </c>
    </row>
    <row r="59" spans="1:10" ht="12">
      <c r="A59" s="19" t="s">
        <v>1370</v>
      </c>
      <c r="B59" s="19"/>
      <c r="C59" s="29">
        <f>'横桁'!B162</f>
        <v>110</v>
      </c>
      <c r="D59" s="31" t="s">
        <v>1276</v>
      </c>
      <c r="E59" s="29">
        <f>'横桁'!D167</f>
        <v>36</v>
      </c>
      <c r="F59" s="29">
        <v>1430</v>
      </c>
      <c r="G59" s="24">
        <v>3</v>
      </c>
      <c r="H59" s="19">
        <f>(C59/1000*E59/1000)*$H$1*1000</f>
        <v>31.086</v>
      </c>
      <c r="I59" s="19">
        <f>F59/1000*H59</f>
        <v>44.45298</v>
      </c>
      <c r="J59" s="19">
        <f t="shared" si="18"/>
        <v>133.35894</v>
      </c>
    </row>
    <row r="60" spans="1:10" ht="12">
      <c r="A60" s="53" t="s">
        <v>1371</v>
      </c>
      <c r="B60" s="53"/>
      <c r="C60" s="53">
        <v>0</v>
      </c>
      <c r="D60" s="54" t="s">
        <v>1276</v>
      </c>
      <c r="E60" s="53">
        <v>0</v>
      </c>
      <c r="F60" s="53">
        <v>0</v>
      </c>
      <c r="G60" s="53">
        <v>0</v>
      </c>
      <c r="H60" s="53">
        <f>(C60/1000*E60/1000)*$H$1*1000</f>
        <v>0</v>
      </c>
      <c r="I60" s="53">
        <f>F60/1000*H60</f>
        <v>0</v>
      </c>
      <c r="J60" s="53">
        <f t="shared" si="18"/>
        <v>0</v>
      </c>
    </row>
    <row r="61" spans="1:10" ht="12">
      <c r="A61" s="19"/>
      <c r="B61" s="19"/>
      <c r="C61" s="19"/>
      <c r="D61" s="23"/>
      <c r="E61" s="19"/>
      <c r="F61" s="19"/>
      <c r="G61" s="19"/>
      <c r="H61" s="19"/>
      <c r="I61" s="19"/>
      <c r="J61" s="19"/>
    </row>
    <row r="62" spans="9:11" ht="12">
      <c r="I62" s="2" t="s">
        <v>1372</v>
      </c>
      <c r="J62" s="2">
        <f>SUM(J45:J60)</f>
        <v>3416.313039999999</v>
      </c>
      <c r="K62" s="2" t="s">
        <v>1441</v>
      </c>
    </row>
    <row r="63" spans="10:11" ht="12">
      <c r="J63" s="2">
        <f>J62/1000</f>
        <v>3.416313039999999</v>
      </c>
      <c r="K63" s="2" t="s">
        <v>1290</v>
      </c>
    </row>
  </sheetData>
  <sheetProtection password="AF41" sheet="1" objects="1" scenarios="1"/>
  <printOptions horizontalCentered="1"/>
  <pageMargins left="0.7874015748031497" right="0.7874015748031497" top="0.984251968503937" bottom="0.984251968503937" header="0.5118110236220472" footer="0.5118110236220472"/>
  <pageSetup horizontalDpi="600" verticalDpi="600" orientation="landscape" paperSize="8" scale="65" r:id="rId1"/>
  <rowBreaks count="1" manualBreakCount="1">
    <brk id="63" max="255" man="1"/>
  </rowBreaks>
</worksheet>
</file>

<file path=xl/worksheets/sheet13.xml><?xml version="1.0" encoding="utf-8"?>
<worksheet xmlns="http://schemas.openxmlformats.org/spreadsheetml/2006/main" xmlns:r="http://schemas.openxmlformats.org/officeDocument/2006/relationships">
  <sheetPr codeName="Sheet13"/>
  <dimension ref="A1:K117"/>
  <sheetViews>
    <sheetView zoomScale="80" zoomScaleNormal="80" zoomScalePageLayoutView="0" workbookViewId="0" topLeftCell="A104">
      <selection activeCell="G21" sqref="G21"/>
    </sheetView>
  </sheetViews>
  <sheetFormatPr defaultColWidth="8.875" defaultRowHeight="13.5"/>
  <cols>
    <col min="1" max="1" width="8.875" style="2" customWidth="1"/>
    <col min="2" max="2" width="8.00390625" style="2" customWidth="1"/>
    <col min="3" max="3" width="7.375" style="2" customWidth="1"/>
    <col min="4" max="4" width="7.875" style="2" customWidth="1"/>
    <col min="5" max="5" width="11.25390625" style="2" customWidth="1"/>
    <col min="6" max="6" width="6.00390625" style="2" customWidth="1"/>
    <col min="7" max="7" width="5.125" style="2" customWidth="1"/>
    <col min="8" max="8" width="6.125" style="2" customWidth="1"/>
    <col min="9" max="9" width="7.625" style="2" customWidth="1"/>
    <col min="10" max="10" width="4.25390625" style="2" customWidth="1"/>
    <col min="11" max="16384" width="8.875" style="2" customWidth="1"/>
  </cols>
  <sheetData>
    <row r="1" ht="12">
      <c r="A1" s="2" t="s">
        <v>1379</v>
      </c>
    </row>
    <row r="2" ht="12">
      <c r="A2" s="2" t="s">
        <v>1380</v>
      </c>
    </row>
    <row r="3" spans="1:6" ht="12">
      <c r="A3" s="2" t="s">
        <v>1331</v>
      </c>
      <c r="B3" s="5" t="s">
        <v>716</v>
      </c>
      <c r="C3" s="2" t="s">
        <v>1328</v>
      </c>
      <c r="D3" s="2" t="s">
        <v>1272</v>
      </c>
      <c r="E3" s="6">
        <f>'材料表'!J21+'材料表'!J42</f>
        <v>49.301917939999996</v>
      </c>
      <c r="F3" s="2" t="s">
        <v>1280</v>
      </c>
    </row>
    <row r="4" ht="12">
      <c r="A4" s="2" t="s">
        <v>1381</v>
      </c>
    </row>
    <row r="5" spans="3:5" ht="12">
      <c r="C5" s="12">
        <f>('横桁'!B12*'横桁'!D12/100+'横桁'!B13*'横桁'!D13/100+'横桁'!B14*'横桁'!D14/100)*'床版'!H24</f>
        <v>464508.00000000006</v>
      </c>
      <c r="D5" s="2" t="s">
        <v>1298</v>
      </c>
      <c r="E5" s="2">
        <f>C5/10^6</f>
        <v>0.46450800000000003</v>
      </c>
    </row>
    <row r="6" spans="1:4" ht="12">
      <c r="A6" s="2" t="s">
        <v>1382</v>
      </c>
      <c r="C6" s="2">
        <f>ROUND(C5/10^6*C7,3)</f>
        <v>3.646</v>
      </c>
      <c r="D6" s="2" t="s">
        <v>1280</v>
      </c>
    </row>
    <row r="7" spans="3:4" ht="12">
      <c r="C7" s="12">
        <f>'主桁'!B546/1000</f>
        <v>7.85</v>
      </c>
      <c r="D7" s="2" t="s">
        <v>1289</v>
      </c>
    </row>
    <row r="8" ht="12">
      <c r="A8" s="2" t="s">
        <v>1383</v>
      </c>
    </row>
    <row r="9" ht="12">
      <c r="A9" s="2" t="s">
        <v>1384</v>
      </c>
    </row>
    <row r="10" ht="12">
      <c r="A10" s="2" t="s">
        <v>1385</v>
      </c>
    </row>
    <row r="11" ht="12">
      <c r="A11" s="2" t="s">
        <v>692</v>
      </c>
    </row>
    <row r="12" spans="1:6" ht="12">
      <c r="A12" s="10" t="s">
        <v>1281</v>
      </c>
      <c r="B12" s="10">
        <f>'対傾構'!C42</f>
        <v>300</v>
      </c>
      <c r="C12" s="11" t="s">
        <v>1266</v>
      </c>
      <c r="D12" s="10">
        <f>'対傾構'!E42</f>
        <v>90</v>
      </c>
      <c r="E12" s="11" t="s">
        <v>1266</v>
      </c>
      <c r="F12" s="10">
        <f>'対傾構'!G42</f>
        <v>36</v>
      </c>
    </row>
    <row r="13" spans="1:3" ht="12">
      <c r="A13" s="2" t="s">
        <v>1386</v>
      </c>
      <c r="B13" s="64">
        <v>48.6</v>
      </c>
      <c r="C13" s="2" t="s">
        <v>1282</v>
      </c>
    </row>
    <row r="14" spans="1:3" ht="12">
      <c r="A14" s="2" t="s">
        <v>1387</v>
      </c>
      <c r="B14" s="10">
        <f>'対傾構'!B51/100</f>
        <v>2.3</v>
      </c>
      <c r="C14" s="2" t="s">
        <v>1265</v>
      </c>
    </row>
    <row r="15" spans="1:10" ht="12">
      <c r="A15" s="2">
        <f>B13</f>
        <v>48.6</v>
      </c>
      <c r="B15" s="5" t="s">
        <v>1266</v>
      </c>
      <c r="C15" s="2">
        <f>B14</f>
        <v>2.3</v>
      </c>
      <c r="D15" s="2" t="s">
        <v>1267</v>
      </c>
      <c r="E15" s="2">
        <f>A15*C15</f>
        <v>111.78</v>
      </c>
      <c r="F15" s="5" t="s">
        <v>1266</v>
      </c>
      <c r="G15" s="64">
        <v>6</v>
      </c>
      <c r="H15" s="2" t="s">
        <v>1283</v>
      </c>
      <c r="I15" s="2">
        <f>ROUND(E15*G15,3)</f>
        <v>670.68</v>
      </c>
      <c r="J15" s="2" t="s">
        <v>1192</v>
      </c>
    </row>
    <row r="16" ht="12">
      <c r="A16" s="2" t="s">
        <v>1388</v>
      </c>
    </row>
    <row r="17" ht="12">
      <c r="A17" s="2" t="s">
        <v>692</v>
      </c>
    </row>
    <row r="18" spans="1:6" ht="12">
      <c r="A18" s="10" t="s">
        <v>1080</v>
      </c>
      <c r="B18" s="10">
        <f>'対傾構'!B124</f>
        <v>130</v>
      </c>
      <c r="C18" s="11" t="s">
        <v>1266</v>
      </c>
      <c r="D18" s="10">
        <f>'対傾構'!D124</f>
        <v>130</v>
      </c>
      <c r="E18" s="11" t="s">
        <v>1266</v>
      </c>
      <c r="F18" s="10">
        <f>'対傾構'!F124</f>
        <v>15</v>
      </c>
    </row>
    <row r="19" spans="1:3" ht="12">
      <c r="A19" s="2" t="s">
        <v>1386</v>
      </c>
      <c r="B19" s="64">
        <v>28.8</v>
      </c>
      <c r="C19" s="2" t="s">
        <v>1282</v>
      </c>
    </row>
    <row r="20" spans="1:3" ht="12">
      <c r="A20" s="2" t="s">
        <v>1387</v>
      </c>
      <c r="B20" s="10">
        <f>B14</f>
        <v>2.3</v>
      </c>
      <c r="C20" s="2" t="s">
        <v>1265</v>
      </c>
    </row>
    <row r="21" spans="1:10" ht="12">
      <c r="A21" s="2">
        <f>B19</f>
        <v>28.8</v>
      </c>
      <c r="B21" s="5" t="s">
        <v>1266</v>
      </c>
      <c r="C21" s="2">
        <f>B20</f>
        <v>2.3</v>
      </c>
      <c r="D21" s="2" t="s">
        <v>1267</v>
      </c>
      <c r="E21" s="2">
        <f>A21*C21</f>
        <v>66.24</v>
      </c>
      <c r="F21" s="5" t="s">
        <v>1266</v>
      </c>
      <c r="G21" s="10">
        <f>G15</f>
        <v>6</v>
      </c>
      <c r="H21" s="2" t="s">
        <v>1283</v>
      </c>
      <c r="I21" s="2">
        <f>ROUND(E21*G21,3)</f>
        <v>397.44</v>
      </c>
      <c r="J21" s="2" t="s">
        <v>1192</v>
      </c>
    </row>
    <row r="22" ht="12">
      <c r="A22" s="2" t="s">
        <v>1389</v>
      </c>
    </row>
    <row r="23" ht="12">
      <c r="A23" s="2" t="s">
        <v>692</v>
      </c>
    </row>
    <row r="24" spans="1:6" ht="12">
      <c r="A24" s="10" t="s">
        <v>1080</v>
      </c>
      <c r="B24" s="10">
        <f>'対傾構'!B79</f>
        <v>130</v>
      </c>
      <c r="C24" s="11" t="s">
        <v>1266</v>
      </c>
      <c r="D24" s="10">
        <f>'対傾構'!D79</f>
        <v>130</v>
      </c>
      <c r="E24" s="11" t="s">
        <v>1266</v>
      </c>
      <c r="F24" s="10">
        <f>'対傾構'!F79</f>
        <v>15</v>
      </c>
    </row>
    <row r="25" spans="1:3" ht="12">
      <c r="A25" s="2" t="s">
        <v>1386</v>
      </c>
      <c r="B25" s="64">
        <v>28.8</v>
      </c>
      <c r="C25" s="2" t="s">
        <v>1282</v>
      </c>
    </row>
    <row r="26" spans="1:3" ht="12">
      <c r="A26" s="2" t="s">
        <v>1387</v>
      </c>
      <c r="B26" s="10">
        <f>'対傾構'!C68/100</f>
        <v>2.22</v>
      </c>
      <c r="C26" s="2" t="s">
        <v>1265</v>
      </c>
    </row>
    <row r="27" spans="1:10" ht="12">
      <c r="A27" s="2">
        <f>B25</f>
        <v>28.8</v>
      </c>
      <c r="B27" s="5" t="s">
        <v>1266</v>
      </c>
      <c r="C27" s="2">
        <f>B26</f>
        <v>2.22</v>
      </c>
      <c r="D27" s="2" t="s">
        <v>1267</v>
      </c>
      <c r="E27" s="2">
        <f>A27*C27</f>
        <v>63.93600000000001</v>
      </c>
      <c r="F27" s="5" t="s">
        <v>1266</v>
      </c>
      <c r="G27" s="10">
        <f>G21*2</f>
        <v>12</v>
      </c>
      <c r="H27" s="2" t="s">
        <v>1283</v>
      </c>
      <c r="I27" s="2">
        <f>ROUND(E27*G27,3)</f>
        <v>767.232</v>
      </c>
      <c r="J27" s="2" t="s">
        <v>1192</v>
      </c>
    </row>
    <row r="28" ht="12">
      <c r="A28" s="2" t="s">
        <v>1391</v>
      </c>
    </row>
    <row r="29" spans="1:4" ht="12">
      <c r="A29" s="2">
        <f>I15+I21+I27</f>
        <v>1835.3519999999999</v>
      </c>
      <c r="B29" s="2" t="s">
        <v>1496</v>
      </c>
      <c r="C29" s="2">
        <f>ROUND(A29/1000,3)</f>
        <v>1.835</v>
      </c>
      <c r="D29" s="2" t="s">
        <v>1299</v>
      </c>
    </row>
    <row r="30" ht="12">
      <c r="A30" s="2" t="s">
        <v>1390</v>
      </c>
    </row>
    <row r="31" ht="12">
      <c r="A31" s="2" t="s">
        <v>1385</v>
      </c>
    </row>
    <row r="32" ht="12">
      <c r="A32" s="2" t="s">
        <v>692</v>
      </c>
    </row>
    <row r="33" spans="1:6" ht="12">
      <c r="A33" s="10" t="s">
        <v>1080</v>
      </c>
      <c r="B33" s="10">
        <f>'対傾構'!B145</f>
        <v>130</v>
      </c>
      <c r="C33" s="11" t="s">
        <v>1266</v>
      </c>
      <c r="D33" s="10">
        <f>'対傾構'!D145</f>
        <v>130</v>
      </c>
      <c r="E33" s="11" t="s">
        <v>1266</v>
      </c>
      <c r="F33" s="10">
        <f>'対傾構'!F145</f>
        <v>36</v>
      </c>
    </row>
    <row r="34" spans="1:3" ht="12">
      <c r="A34" s="2" t="s">
        <v>1386</v>
      </c>
      <c r="B34" s="64">
        <v>28.8</v>
      </c>
      <c r="C34" s="2" t="s">
        <v>1282</v>
      </c>
    </row>
    <row r="35" spans="1:3" ht="12">
      <c r="A35" s="2" t="s">
        <v>1387</v>
      </c>
      <c r="B35" s="10">
        <f>'対傾構'!B149/100</f>
        <v>2.2649999999999997</v>
      </c>
      <c r="C35" s="2" t="s">
        <v>1265</v>
      </c>
    </row>
    <row r="36" spans="1:10" ht="12">
      <c r="A36" s="2">
        <f>B34</f>
        <v>28.8</v>
      </c>
      <c r="B36" s="5" t="s">
        <v>1266</v>
      </c>
      <c r="C36" s="2">
        <f>B35</f>
        <v>2.2649999999999997</v>
      </c>
      <c r="D36" s="2" t="s">
        <v>1267</v>
      </c>
      <c r="E36" s="2">
        <f>A36*C36</f>
        <v>65.232</v>
      </c>
      <c r="F36" s="5" t="s">
        <v>1266</v>
      </c>
      <c r="G36" s="64">
        <v>12</v>
      </c>
      <c r="H36" s="2" t="s">
        <v>1283</v>
      </c>
      <c r="I36" s="2">
        <f>ROUND(E36*G36,3)</f>
        <v>782.784</v>
      </c>
      <c r="J36" s="2" t="s">
        <v>1192</v>
      </c>
    </row>
    <row r="37" ht="12">
      <c r="A37" s="2" t="s">
        <v>1388</v>
      </c>
    </row>
    <row r="38" ht="12">
      <c r="A38" s="2" t="s">
        <v>692</v>
      </c>
    </row>
    <row r="39" spans="1:6" ht="12">
      <c r="A39" s="10" t="s">
        <v>1080</v>
      </c>
      <c r="B39" s="10">
        <f>'対傾構'!B145</f>
        <v>130</v>
      </c>
      <c r="C39" s="11" t="s">
        <v>1266</v>
      </c>
      <c r="D39" s="10">
        <f>'対傾構'!D145</f>
        <v>130</v>
      </c>
      <c r="E39" s="11" t="s">
        <v>1266</v>
      </c>
      <c r="F39" s="10">
        <f>'対傾構'!F145</f>
        <v>36</v>
      </c>
    </row>
    <row r="40" spans="1:3" ht="12">
      <c r="A40" s="2" t="s">
        <v>1386</v>
      </c>
      <c r="B40" s="64">
        <f>B34</f>
        <v>28.8</v>
      </c>
      <c r="C40" s="2" t="s">
        <v>1282</v>
      </c>
    </row>
    <row r="41" spans="1:3" ht="12">
      <c r="A41" s="2" t="s">
        <v>1387</v>
      </c>
      <c r="B41" s="10">
        <f>B35</f>
        <v>2.2649999999999997</v>
      </c>
      <c r="C41" s="2" t="s">
        <v>1265</v>
      </c>
    </row>
    <row r="42" spans="1:10" ht="12">
      <c r="A42" s="2">
        <f>B40</f>
        <v>28.8</v>
      </c>
      <c r="B42" s="5" t="s">
        <v>1266</v>
      </c>
      <c r="C42" s="2">
        <f>B41</f>
        <v>2.2649999999999997</v>
      </c>
      <c r="D42" s="2" t="s">
        <v>1267</v>
      </c>
      <c r="E42" s="2">
        <f>A42*C42</f>
        <v>65.232</v>
      </c>
      <c r="F42" s="5" t="s">
        <v>1266</v>
      </c>
      <c r="G42" s="10">
        <f>G36</f>
        <v>12</v>
      </c>
      <c r="H42" s="2" t="s">
        <v>1283</v>
      </c>
      <c r="I42" s="2">
        <f>ROUND(E42*G42,3)</f>
        <v>782.784</v>
      </c>
      <c r="J42" s="2" t="s">
        <v>1192</v>
      </c>
    </row>
    <row r="43" ht="12">
      <c r="A43" s="2" t="s">
        <v>1389</v>
      </c>
    </row>
    <row r="44" ht="12">
      <c r="A44" s="2" t="s">
        <v>692</v>
      </c>
    </row>
    <row r="45" spans="1:6" ht="12">
      <c r="A45" s="10" t="s">
        <v>1080</v>
      </c>
      <c r="B45" s="10">
        <f>'対傾構'!B162</f>
        <v>130</v>
      </c>
      <c r="C45" s="11" t="s">
        <v>1266</v>
      </c>
      <c r="D45" s="10">
        <f>'対傾構'!D162</f>
        <v>130</v>
      </c>
      <c r="E45" s="11" t="s">
        <v>1266</v>
      </c>
      <c r="F45" s="10">
        <f>'対傾構'!F162</f>
        <v>36</v>
      </c>
    </row>
    <row r="46" spans="1:3" ht="12">
      <c r="A46" s="2" t="s">
        <v>1386</v>
      </c>
      <c r="B46" s="64">
        <v>28.8</v>
      </c>
      <c r="C46" s="2" t="s">
        <v>1282</v>
      </c>
    </row>
    <row r="47" spans="1:3" ht="12">
      <c r="A47" s="2" t="s">
        <v>1387</v>
      </c>
      <c r="B47" s="10">
        <f>'対傾構'!B166/100</f>
        <v>2.21</v>
      </c>
      <c r="C47" s="2" t="s">
        <v>1265</v>
      </c>
    </row>
    <row r="48" spans="1:10" ht="12">
      <c r="A48" s="2">
        <f>B46</f>
        <v>28.8</v>
      </c>
      <c r="B48" s="5" t="s">
        <v>1266</v>
      </c>
      <c r="C48" s="2">
        <f>B47</f>
        <v>2.21</v>
      </c>
      <c r="D48" s="2" t="s">
        <v>1267</v>
      </c>
      <c r="E48" s="2">
        <f>A48*C48</f>
        <v>63.648</v>
      </c>
      <c r="F48" s="5" t="s">
        <v>1266</v>
      </c>
      <c r="G48" s="10">
        <f>G42*2</f>
        <v>24</v>
      </c>
      <c r="H48" s="2" t="s">
        <v>1283</v>
      </c>
      <c r="I48" s="2">
        <f>ROUND(E48*G48,3)</f>
        <v>1527.552</v>
      </c>
      <c r="J48" s="2" t="s">
        <v>1192</v>
      </c>
    </row>
    <row r="49" ht="12">
      <c r="A49" s="2" t="s">
        <v>1392</v>
      </c>
    </row>
    <row r="50" spans="1:4" ht="12">
      <c r="A50" s="2">
        <f>I36+I42+I48</f>
        <v>3093.12</v>
      </c>
      <c r="B50" s="2" t="s">
        <v>1496</v>
      </c>
      <c r="C50" s="2">
        <f>ROUND(A50/1000,3)</f>
        <v>3.093</v>
      </c>
      <c r="D50" s="2" t="s">
        <v>1299</v>
      </c>
    </row>
    <row r="52" ht="12">
      <c r="A52" s="2" t="s">
        <v>1393</v>
      </c>
    </row>
    <row r="53" ht="12">
      <c r="A53" s="2" t="s">
        <v>1394</v>
      </c>
    </row>
    <row r="54" ht="12">
      <c r="A54" s="2" t="s">
        <v>692</v>
      </c>
    </row>
    <row r="55" spans="1:6" ht="12">
      <c r="A55" s="10" t="s">
        <v>1080</v>
      </c>
      <c r="B55" s="10">
        <f>'横桁'!B226</f>
        <v>130</v>
      </c>
      <c r="C55" s="11" t="s">
        <v>1266</v>
      </c>
      <c r="D55" s="10">
        <f>'横桁'!D226</f>
        <v>130</v>
      </c>
      <c r="E55" s="11" t="s">
        <v>1266</v>
      </c>
      <c r="F55" s="10">
        <f>'横桁'!F226</f>
        <v>36</v>
      </c>
    </row>
    <row r="56" spans="1:3" ht="12">
      <c r="A56" s="2" t="s">
        <v>1386</v>
      </c>
      <c r="B56" s="64">
        <v>28.8</v>
      </c>
      <c r="C56" s="2" t="s">
        <v>1282</v>
      </c>
    </row>
    <row r="57" spans="1:3" ht="12">
      <c r="A57" s="2" t="s">
        <v>1387</v>
      </c>
      <c r="B57" s="12">
        <f>'横桁'!B223</f>
        <v>3.585</v>
      </c>
      <c r="C57" s="2" t="s">
        <v>1265</v>
      </c>
    </row>
    <row r="58" spans="1:10" ht="12">
      <c r="A58" s="2">
        <f>B56</f>
        <v>28.8</v>
      </c>
      <c r="B58" s="5" t="s">
        <v>1266</v>
      </c>
      <c r="C58" s="2">
        <f>B57</f>
        <v>3.585</v>
      </c>
      <c r="D58" s="2" t="s">
        <v>1267</v>
      </c>
      <c r="E58" s="2">
        <f>A58*C58</f>
        <v>103.248</v>
      </c>
      <c r="F58" s="5" t="s">
        <v>1266</v>
      </c>
      <c r="G58" s="64">
        <v>12</v>
      </c>
      <c r="H58" s="2" t="s">
        <v>1283</v>
      </c>
      <c r="I58" s="2">
        <f>ROUND(E58*G58,3)</f>
        <v>1238.976</v>
      </c>
      <c r="J58" s="2" t="s">
        <v>1192</v>
      </c>
    </row>
    <row r="59" ht="12">
      <c r="A59" s="2" t="s">
        <v>1395</v>
      </c>
    </row>
    <row r="60" ht="12">
      <c r="A60" s="2" t="s">
        <v>692</v>
      </c>
    </row>
    <row r="61" spans="1:6" ht="12">
      <c r="A61" s="10" t="s">
        <v>1080</v>
      </c>
      <c r="B61" s="10">
        <f>B55</f>
        <v>130</v>
      </c>
      <c r="C61" s="11" t="s">
        <v>1266</v>
      </c>
      <c r="D61" s="10">
        <f>D55</f>
        <v>130</v>
      </c>
      <c r="E61" s="11" t="s">
        <v>1266</v>
      </c>
      <c r="F61" s="10">
        <f>F55</f>
        <v>36</v>
      </c>
    </row>
    <row r="62" spans="1:3" ht="12">
      <c r="A62" s="2" t="s">
        <v>1386</v>
      </c>
      <c r="B62" s="10">
        <f>B56</f>
        <v>28.8</v>
      </c>
      <c r="C62" s="2" t="s">
        <v>1282</v>
      </c>
    </row>
    <row r="63" spans="1:3" ht="12">
      <c r="A63" s="2" t="s">
        <v>1387</v>
      </c>
      <c r="B63" s="10">
        <f>B57</f>
        <v>3.585</v>
      </c>
      <c r="C63" s="2" t="s">
        <v>1265</v>
      </c>
    </row>
    <row r="64" spans="1:10" ht="12">
      <c r="A64" s="2">
        <f>B62</f>
        <v>28.8</v>
      </c>
      <c r="B64" s="5" t="s">
        <v>1266</v>
      </c>
      <c r="C64" s="2">
        <f>B63</f>
        <v>3.585</v>
      </c>
      <c r="D64" s="2" t="s">
        <v>1267</v>
      </c>
      <c r="E64" s="2">
        <f>A64*C64</f>
        <v>103.248</v>
      </c>
      <c r="F64" s="5" t="s">
        <v>1266</v>
      </c>
      <c r="G64" s="64">
        <v>12</v>
      </c>
      <c r="H64" s="2" t="s">
        <v>1283</v>
      </c>
      <c r="I64" s="2">
        <f>ROUND(E64*G64,3)</f>
        <v>1238.976</v>
      </c>
      <c r="J64" s="2" t="s">
        <v>1192</v>
      </c>
    </row>
    <row r="65" spans="1:7" ht="12">
      <c r="A65" s="2" t="s">
        <v>1396</v>
      </c>
      <c r="F65" s="5"/>
      <c r="G65" s="10"/>
    </row>
    <row r="66" spans="1:7" ht="12">
      <c r="A66" s="2">
        <f>I58+I64</f>
        <v>2477.952</v>
      </c>
      <c r="B66" s="2" t="s">
        <v>1496</v>
      </c>
      <c r="C66" s="2">
        <f>ROUND(A66/1000,3)</f>
        <v>2.478</v>
      </c>
      <c r="D66" s="2" t="s">
        <v>1299</v>
      </c>
      <c r="F66" s="5"/>
      <c r="G66" s="10"/>
    </row>
    <row r="67" spans="6:7" ht="12">
      <c r="F67" s="5"/>
      <c r="G67" s="10"/>
    </row>
    <row r="68" spans="1:7" ht="12">
      <c r="A68" s="33" t="s">
        <v>1326</v>
      </c>
      <c r="F68" s="5"/>
      <c r="G68" s="10"/>
    </row>
    <row r="69" spans="1:7" ht="12">
      <c r="A69" s="2" t="s">
        <v>901</v>
      </c>
      <c r="F69" s="5"/>
      <c r="G69" s="10"/>
    </row>
    <row r="70" spans="1:7" ht="12">
      <c r="A70" s="2" t="s">
        <v>34</v>
      </c>
      <c r="B70" s="5"/>
      <c r="F70" s="5"/>
      <c r="G70" s="10"/>
    </row>
    <row r="71" ht="12">
      <c r="A71" s="2" t="s">
        <v>692</v>
      </c>
    </row>
    <row r="72" spans="1:6" ht="12">
      <c r="A72" s="10" t="s">
        <v>1080</v>
      </c>
      <c r="B72" s="10">
        <f>'対傾構クルス'!B7</f>
        <v>130</v>
      </c>
      <c r="C72" s="11" t="s">
        <v>1266</v>
      </c>
      <c r="D72" s="10">
        <f>'対傾構クルス'!D7</f>
        <v>130</v>
      </c>
      <c r="E72" s="11" t="s">
        <v>1266</v>
      </c>
      <c r="F72" s="10">
        <f>'対傾構クルス'!F7</f>
        <v>36</v>
      </c>
    </row>
    <row r="73" spans="1:3" ht="12">
      <c r="A73" s="2" t="s">
        <v>1386</v>
      </c>
      <c r="B73" s="64">
        <v>28.8</v>
      </c>
      <c r="C73" s="2" t="s">
        <v>1282</v>
      </c>
    </row>
    <row r="74" spans="1:3" ht="12">
      <c r="A74" s="2" t="s">
        <v>1387</v>
      </c>
      <c r="B74" s="12">
        <f>'対傾構クルス'!B5</f>
        <v>4</v>
      </c>
      <c r="C74" s="2" t="s">
        <v>1265</v>
      </c>
    </row>
    <row r="75" spans="1:10" ht="12">
      <c r="A75" s="2">
        <f>B73</f>
        <v>28.8</v>
      </c>
      <c r="B75" s="5" t="s">
        <v>1266</v>
      </c>
      <c r="C75" s="2">
        <f>B74</f>
        <v>4</v>
      </c>
      <c r="D75" s="2" t="s">
        <v>1267</v>
      </c>
      <c r="E75" s="2">
        <f>A75*C75</f>
        <v>115.2</v>
      </c>
      <c r="F75" s="5" t="s">
        <v>1266</v>
      </c>
      <c r="G75" s="64">
        <v>2</v>
      </c>
      <c r="H75" s="2" t="s">
        <v>1283</v>
      </c>
      <c r="I75" s="2">
        <f>ROUND(E75*G75,3)</f>
        <v>230.4</v>
      </c>
      <c r="J75" s="2" t="s">
        <v>1192</v>
      </c>
    </row>
    <row r="76" ht="12">
      <c r="A76" s="2" t="s">
        <v>35</v>
      </c>
    </row>
    <row r="77" ht="12">
      <c r="A77" s="2" t="s">
        <v>692</v>
      </c>
    </row>
    <row r="78" spans="1:6" ht="12">
      <c r="A78" s="10" t="s">
        <v>1080</v>
      </c>
      <c r="B78" s="10">
        <f>B72</f>
        <v>130</v>
      </c>
      <c r="C78" s="11" t="s">
        <v>1266</v>
      </c>
      <c r="D78" s="10">
        <f>D72</f>
        <v>130</v>
      </c>
      <c r="E78" s="11" t="s">
        <v>1266</v>
      </c>
      <c r="F78" s="10">
        <f>F72</f>
        <v>36</v>
      </c>
    </row>
    <row r="79" spans="1:3" ht="12">
      <c r="A79" s="2" t="s">
        <v>1386</v>
      </c>
      <c r="B79" s="64">
        <f>B73</f>
        <v>28.8</v>
      </c>
      <c r="C79" s="2" t="s">
        <v>1282</v>
      </c>
    </row>
    <row r="80" spans="1:3" ht="12">
      <c r="A80" s="2" t="s">
        <v>1387</v>
      </c>
      <c r="B80" s="12">
        <f>'対傾構クルス'!B6</f>
        <v>2</v>
      </c>
      <c r="C80" s="2" t="s">
        <v>1265</v>
      </c>
    </row>
    <row r="81" spans="1:10" ht="12">
      <c r="A81" s="2">
        <f>B79</f>
        <v>28.8</v>
      </c>
      <c r="B81" s="5" t="s">
        <v>1266</v>
      </c>
      <c r="C81" s="2">
        <f>B80</f>
        <v>2</v>
      </c>
      <c r="D81" s="2" t="s">
        <v>1267</v>
      </c>
      <c r="E81" s="2">
        <f>A81*C81</f>
        <v>57.6</v>
      </c>
      <c r="F81" s="5" t="s">
        <v>1266</v>
      </c>
      <c r="G81" s="64">
        <v>4</v>
      </c>
      <c r="H81" s="2" t="s">
        <v>1283</v>
      </c>
      <c r="I81" s="2">
        <f>ROUND(E81*G81,3)</f>
        <v>230.4</v>
      </c>
      <c r="J81" s="2" t="s">
        <v>1192</v>
      </c>
    </row>
    <row r="82" spans="1:7" ht="12">
      <c r="A82" s="2" t="s">
        <v>902</v>
      </c>
      <c r="B82" s="5"/>
      <c r="F82" s="5"/>
      <c r="G82" s="10"/>
    </row>
    <row r="83" ht="12">
      <c r="A83" s="2" t="s">
        <v>692</v>
      </c>
    </row>
    <row r="84" spans="1:6" ht="12">
      <c r="A84" s="10" t="s">
        <v>1080</v>
      </c>
      <c r="B84" s="10">
        <f>'対傾構クルス'!B18</f>
        <v>130</v>
      </c>
      <c r="C84" s="11" t="s">
        <v>1266</v>
      </c>
      <c r="D84" s="10">
        <f>'対傾構クルス'!D18</f>
        <v>130</v>
      </c>
      <c r="E84" s="11" t="s">
        <v>1266</v>
      </c>
      <c r="F84" s="10">
        <f>'対傾構クルス'!F18</f>
        <v>36</v>
      </c>
    </row>
    <row r="85" spans="1:3" ht="12">
      <c r="A85" s="2" t="s">
        <v>1386</v>
      </c>
      <c r="B85" s="64">
        <v>28.8</v>
      </c>
      <c r="C85" s="2" t="s">
        <v>1282</v>
      </c>
    </row>
    <row r="86" spans="1:3" ht="12">
      <c r="A86" s="2" t="s">
        <v>1387</v>
      </c>
      <c r="B86" s="12">
        <f>'対傾構クルス'!B17</f>
        <v>2.3</v>
      </c>
      <c r="C86" s="2" t="s">
        <v>1265</v>
      </c>
    </row>
    <row r="87" spans="1:10" ht="12">
      <c r="A87" s="2">
        <f>B85</f>
        <v>28.8</v>
      </c>
      <c r="B87" s="5" t="s">
        <v>1266</v>
      </c>
      <c r="C87" s="2">
        <f>B86</f>
        <v>2.3</v>
      </c>
      <c r="D87" s="2" t="s">
        <v>1267</v>
      </c>
      <c r="E87" s="2">
        <f>A87*C87</f>
        <v>66.24</v>
      </c>
      <c r="F87" s="5" t="s">
        <v>1266</v>
      </c>
      <c r="G87" s="64">
        <v>2</v>
      </c>
      <c r="H87" s="2" t="s">
        <v>1283</v>
      </c>
      <c r="I87" s="2">
        <f>ROUND(E87*G87,3)</f>
        <v>132.48</v>
      </c>
      <c r="J87" s="2" t="s">
        <v>1192</v>
      </c>
    </row>
    <row r="88" spans="2:7" ht="12">
      <c r="B88" s="5"/>
      <c r="F88" s="5"/>
      <c r="G88" s="10"/>
    </row>
    <row r="89" ht="12">
      <c r="A89" s="2" t="s">
        <v>36</v>
      </c>
    </row>
    <row r="90" spans="1:4" ht="12">
      <c r="A90" s="2">
        <f>I75+I81+I87</f>
        <v>593.28</v>
      </c>
      <c r="B90" s="2" t="s">
        <v>1496</v>
      </c>
      <c r="C90" s="2">
        <f>ROUND(A90/1000,3)</f>
        <v>0.593</v>
      </c>
      <c r="D90" s="2" t="s">
        <v>1299</v>
      </c>
    </row>
    <row r="91" ht="12">
      <c r="A91" s="2" t="s">
        <v>1397</v>
      </c>
    </row>
    <row r="92" spans="1:6" ht="12">
      <c r="A92" s="2" t="s">
        <v>1399</v>
      </c>
      <c r="F92" s="64">
        <v>0.15</v>
      </c>
    </row>
    <row r="93" spans="1:6" ht="12">
      <c r="A93" s="2" t="s">
        <v>1400</v>
      </c>
      <c r="F93" s="64">
        <v>0.15</v>
      </c>
    </row>
    <row r="94" spans="1:6" ht="12">
      <c r="A94" s="2" t="s">
        <v>1401</v>
      </c>
      <c r="F94" s="64">
        <v>0.2</v>
      </c>
    </row>
    <row r="95" spans="1:6" ht="12">
      <c r="A95" s="2" t="s">
        <v>1402</v>
      </c>
      <c r="F95" s="64">
        <v>0.03</v>
      </c>
    </row>
    <row r="96" ht="12">
      <c r="A96" s="2" t="s">
        <v>1398</v>
      </c>
    </row>
    <row r="98" ht="12">
      <c r="A98" s="2" t="s">
        <v>1407</v>
      </c>
    </row>
    <row r="99" spans="1:3" ht="12">
      <c r="A99" s="2" t="s">
        <v>1403</v>
      </c>
      <c r="B99" s="10">
        <f>'床版'!C10</f>
        <v>4</v>
      </c>
      <c r="C99" s="2" t="s">
        <v>1404</v>
      </c>
    </row>
    <row r="100" spans="1:2" ht="12">
      <c r="A100" s="2">
        <f>ROUND(E3*F92,3)</f>
        <v>7.395</v>
      </c>
      <c r="B100" s="2" t="s">
        <v>1299</v>
      </c>
    </row>
    <row r="101" ht="12">
      <c r="A101" s="2" t="s">
        <v>1406</v>
      </c>
    </row>
    <row r="102" spans="1:2" ht="12">
      <c r="A102" s="2">
        <f>ROUND((C6+C29+C50)*F93,3)</f>
        <v>1.286</v>
      </c>
      <c r="B102" s="2" t="s">
        <v>1299</v>
      </c>
    </row>
    <row r="103" ht="12">
      <c r="A103" s="2" t="s">
        <v>1408</v>
      </c>
    </row>
    <row r="104" spans="1:5" ht="12">
      <c r="A104" s="2">
        <f>ROUND((C66+IF('床版'!C10&gt;3,C90,0))*F94,3)</f>
        <v>0.614</v>
      </c>
      <c r="B104" s="2" t="s">
        <v>1299</v>
      </c>
      <c r="E104" s="2">
        <f>C66+C90</f>
        <v>3.071</v>
      </c>
    </row>
    <row r="105" ht="12">
      <c r="A105" s="2" t="s">
        <v>1409</v>
      </c>
    </row>
    <row r="106" spans="1:2" ht="12">
      <c r="A106" s="2">
        <f>ROUND((E3+C6+C29+C50+C66)*F95,3)</f>
        <v>1.811</v>
      </c>
      <c r="B106" s="2" t="s">
        <v>1299</v>
      </c>
    </row>
    <row r="107" spans="1:2" ht="12">
      <c r="A107" s="2">
        <f>A100+A102+A104+A106</f>
        <v>11.106</v>
      </c>
      <c r="B107" s="2" t="s">
        <v>1299</v>
      </c>
    </row>
    <row r="108" ht="12">
      <c r="A108" s="2" t="s">
        <v>1410</v>
      </c>
    </row>
    <row r="109" spans="3:5" ht="12">
      <c r="C109" s="12">
        <f>C90</f>
        <v>0.593</v>
      </c>
      <c r="D109" s="2" t="s">
        <v>1299</v>
      </c>
      <c r="E109" s="33" t="s">
        <v>1288</v>
      </c>
    </row>
    <row r="110" s="10" customFormat="1" ht="12">
      <c r="A110" s="2" t="s">
        <v>1411</v>
      </c>
    </row>
    <row r="111" spans="1:3" ht="12">
      <c r="A111" s="2" t="s">
        <v>1412</v>
      </c>
      <c r="B111" s="2">
        <f>ROUND(E3+C6+C29+C50+C66+A107+C109,3)</f>
        <v>72.053</v>
      </c>
      <c r="C111" s="2" t="s">
        <v>1299</v>
      </c>
    </row>
    <row r="112" spans="1:5" ht="12">
      <c r="A112" s="2" t="s">
        <v>1413</v>
      </c>
      <c r="D112" s="2">
        <f>ROUND(B111/(B113*B114),3)</f>
        <v>0.283</v>
      </c>
      <c r="E112" s="2" t="s">
        <v>1284</v>
      </c>
    </row>
    <row r="113" spans="1:3" ht="12">
      <c r="A113" s="2" t="s">
        <v>1448</v>
      </c>
      <c r="B113" s="2">
        <f>'床版'!C8</f>
        <v>7.6</v>
      </c>
      <c r="C113" s="2" t="s">
        <v>1265</v>
      </c>
    </row>
    <row r="114" spans="1:3" ht="12">
      <c r="A114" s="2" t="s">
        <v>1446</v>
      </c>
      <c r="B114" s="2">
        <f>'床版'!C7</f>
        <v>33.5</v>
      </c>
      <c r="C114" s="2" t="s">
        <v>1265</v>
      </c>
    </row>
    <row r="115" spans="1:11" ht="12">
      <c r="A115" s="2" t="s">
        <v>1442</v>
      </c>
      <c r="D115" s="12">
        <f>ROUND('主桁'!B551/1000,3)</f>
        <v>0.251</v>
      </c>
      <c r="E115" s="2" t="s">
        <v>1284</v>
      </c>
      <c r="K115" s="2">
        <f>D115*1000</f>
        <v>251</v>
      </c>
    </row>
    <row r="116" ht="12">
      <c r="A116" s="2" t="s">
        <v>1414</v>
      </c>
    </row>
    <row r="117" spans="1:6" ht="12">
      <c r="A117" s="2">
        <f>ROUND(ABS((D112-D115)/D112)*100,1)</f>
        <v>11.3</v>
      </c>
      <c r="B117" s="2" t="s">
        <v>1449</v>
      </c>
      <c r="C117" s="5" t="str">
        <f>IF(A117&lt;=D117,"≦","&gt;")</f>
        <v>&gt;</v>
      </c>
      <c r="D117" s="8">
        <v>5</v>
      </c>
      <c r="E117" s="2" t="s">
        <v>1449</v>
      </c>
      <c r="F117" s="9" t="str">
        <f>IF(A117&lt;=D117,"OK","NG")</f>
        <v>NG</v>
      </c>
    </row>
  </sheetData>
  <sheetProtection password="AF41" sheet="1" objects="1" scenarios="1"/>
  <printOptions horizontalCentered="1"/>
  <pageMargins left="0.7874015748031497" right="0.7874015748031497" top="0.984251968503937" bottom="0.984251968503937" header="0.5118110236220472" footer="0.5118110236220472"/>
  <pageSetup horizontalDpi="600" verticalDpi="600" orientation="portrait" paperSize="9" scale="96" r:id="rId1"/>
  <rowBreaks count="2" manualBreakCount="2">
    <brk id="51" max="255" man="1"/>
    <brk id="90" max="9" man="1"/>
  </rowBreaks>
</worksheet>
</file>

<file path=xl/worksheets/sheet14.xml><?xml version="1.0" encoding="utf-8"?>
<worksheet xmlns="http://schemas.openxmlformats.org/spreadsheetml/2006/main" xmlns:r="http://schemas.openxmlformats.org/officeDocument/2006/relationships">
  <sheetPr codeName="Sheet14"/>
  <dimension ref="A1:J28"/>
  <sheetViews>
    <sheetView zoomScale="80" zoomScaleNormal="80" zoomScalePageLayoutView="0" workbookViewId="0" topLeftCell="A1">
      <selection activeCell="L35" sqref="L35"/>
    </sheetView>
  </sheetViews>
  <sheetFormatPr defaultColWidth="9.00390625" defaultRowHeight="13.5"/>
  <cols>
    <col min="1" max="16384" width="9.00390625" style="51" customWidth="1"/>
  </cols>
  <sheetData>
    <row r="1" ht="13.5">
      <c r="A1" s="51" t="s">
        <v>1331</v>
      </c>
    </row>
    <row r="2" ht="13.5">
      <c r="A2" s="51" t="s">
        <v>258</v>
      </c>
    </row>
    <row r="3" spans="1:5" ht="13.5">
      <c r="A3" s="51" t="s">
        <v>259</v>
      </c>
      <c r="B3" s="10"/>
      <c r="C3" s="35" t="s">
        <v>1096</v>
      </c>
      <c r="D3" s="35"/>
      <c r="E3" s="35" t="s">
        <v>1097</v>
      </c>
    </row>
    <row r="4" spans="2:5" ht="13.5">
      <c r="B4" s="10" t="s">
        <v>1100</v>
      </c>
      <c r="C4" s="10">
        <f>'主桁'!B313</f>
        <v>510</v>
      </c>
      <c r="D4" s="11" t="str">
        <f>'主桁'!C313</f>
        <v>*</v>
      </c>
      <c r="E4" s="10">
        <f>'主桁'!D313</f>
        <v>36</v>
      </c>
    </row>
    <row r="5" spans="2:5" ht="13.5">
      <c r="B5" s="10" t="s">
        <v>1103</v>
      </c>
      <c r="C5" s="10">
        <f>'主桁'!B314</f>
        <v>2200</v>
      </c>
      <c r="D5" s="11" t="str">
        <f>'主桁'!C314</f>
        <v>*</v>
      </c>
      <c r="E5" s="10">
        <f>'主桁'!D314</f>
        <v>10</v>
      </c>
    </row>
    <row r="6" spans="2:9" ht="13.5">
      <c r="B6" s="10" t="s">
        <v>1426</v>
      </c>
      <c r="C6" s="10">
        <f>'主桁'!B315</f>
        <v>510</v>
      </c>
      <c r="D6" s="11" t="str">
        <f>'主桁'!C315</f>
        <v>*</v>
      </c>
      <c r="E6" s="10">
        <f>'主桁'!D315</f>
        <v>36</v>
      </c>
      <c r="G6" s="51" t="s">
        <v>163</v>
      </c>
      <c r="I6" s="51" t="s">
        <v>164</v>
      </c>
    </row>
    <row r="7" spans="1:10" ht="13.5">
      <c r="A7" s="51" t="s">
        <v>260</v>
      </c>
      <c r="B7" s="10"/>
      <c r="C7" s="35" t="s">
        <v>1096</v>
      </c>
      <c r="D7" s="35"/>
      <c r="E7" s="35" t="s">
        <v>1097</v>
      </c>
      <c r="F7" s="51" t="s">
        <v>263</v>
      </c>
      <c r="G7" s="51">
        <v>1</v>
      </c>
      <c r="H7" s="51">
        <v>5</v>
      </c>
      <c r="I7" s="51">
        <v>1</v>
      </c>
      <c r="J7" s="51">
        <v>5</v>
      </c>
    </row>
    <row r="8" spans="2:10" ht="13.5">
      <c r="B8" s="10" t="s">
        <v>1100</v>
      </c>
      <c r="C8" s="10">
        <f>'主桁'!B344</f>
        <v>400</v>
      </c>
      <c r="D8" s="11" t="str">
        <f>'主桁'!C344</f>
        <v>*</v>
      </c>
      <c r="E8" s="10">
        <f>'主桁'!D344</f>
        <v>36</v>
      </c>
      <c r="G8" s="51">
        <f>(C4-C8)/2</f>
        <v>55</v>
      </c>
      <c r="H8" s="51">
        <f>G8*5</f>
        <v>275</v>
      </c>
      <c r="I8" s="51">
        <f>(E4-E8)/2</f>
        <v>0</v>
      </c>
      <c r="J8" s="51">
        <f>I8*5</f>
        <v>0</v>
      </c>
    </row>
    <row r="9" spans="2:5" ht="13.5">
      <c r="B9" s="10" t="s">
        <v>1103</v>
      </c>
      <c r="C9" s="10">
        <f>'主桁'!B345</f>
        <v>2200</v>
      </c>
      <c r="D9" s="11" t="str">
        <f>'主桁'!C345</f>
        <v>*</v>
      </c>
      <c r="E9" s="10">
        <f>'主桁'!D345</f>
        <v>10</v>
      </c>
    </row>
    <row r="10" spans="2:9" ht="13.5">
      <c r="B10" s="10" t="s">
        <v>1426</v>
      </c>
      <c r="C10" s="10">
        <f>'主桁'!B346</f>
        <v>400</v>
      </c>
      <c r="D10" s="11" t="str">
        <f>'主桁'!C346</f>
        <v>*</v>
      </c>
      <c r="E10" s="10">
        <f>'主桁'!D346</f>
        <v>36</v>
      </c>
      <c r="G10" s="51" t="s">
        <v>163</v>
      </c>
      <c r="I10" s="51" t="s">
        <v>164</v>
      </c>
    </row>
    <row r="11" spans="1:10" ht="13.5">
      <c r="A11" s="51" t="s">
        <v>261</v>
      </c>
      <c r="B11" s="10"/>
      <c r="C11" s="35" t="s">
        <v>1096</v>
      </c>
      <c r="D11" s="35"/>
      <c r="E11" s="35" t="s">
        <v>1097</v>
      </c>
      <c r="F11" s="52" t="s">
        <v>262</v>
      </c>
      <c r="G11" s="51">
        <v>1</v>
      </c>
      <c r="H11" s="51">
        <v>5</v>
      </c>
      <c r="I11" s="51">
        <v>1</v>
      </c>
      <c r="J11" s="51">
        <v>5</v>
      </c>
    </row>
    <row r="12" spans="2:10" ht="13.5">
      <c r="B12" s="10" t="s">
        <v>1100</v>
      </c>
      <c r="C12" s="10">
        <f>'主桁'!B375</f>
        <v>280</v>
      </c>
      <c r="D12" s="11" t="str">
        <f>'主桁'!C375</f>
        <v>*</v>
      </c>
      <c r="E12" s="10">
        <f>'主桁'!D375</f>
        <v>36</v>
      </c>
      <c r="G12" s="51">
        <f>(C8-C12)/2</f>
        <v>60</v>
      </c>
      <c r="H12" s="51">
        <f>G12*5</f>
        <v>300</v>
      </c>
      <c r="I12" s="51">
        <f>(E8-E12)/2</f>
        <v>0</v>
      </c>
      <c r="J12" s="51">
        <f>I12*5</f>
        <v>0</v>
      </c>
    </row>
    <row r="13" spans="2:5" ht="13.5">
      <c r="B13" s="10" t="s">
        <v>1103</v>
      </c>
      <c r="C13" s="10">
        <f>'主桁'!B376</f>
        <v>2200</v>
      </c>
      <c r="D13" s="11" t="str">
        <f>'主桁'!C376</f>
        <v>*</v>
      </c>
      <c r="E13" s="10">
        <f>'主桁'!D376</f>
        <v>10</v>
      </c>
    </row>
    <row r="14" spans="2:5" ht="13.5">
      <c r="B14" s="10" t="s">
        <v>1426</v>
      </c>
      <c r="C14" s="10">
        <f>'主桁'!B377</f>
        <v>280</v>
      </c>
      <c r="D14" s="11" t="str">
        <f>'主桁'!C377</f>
        <v>*</v>
      </c>
      <c r="E14" s="10">
        <f>'主桁'!D377</f>
        <v>36</v>
      </c>
    </row>
    <row r="15" ht="13.5">
      <c r="A15" s="51" t="s">
        <v>1328</v>
      </c>
    </row>
    <row r="16" ht="13.5">
      <c r="A16" s="51" t="s">
        <v>258</v>
      </c>
    </row>
    <row r="17" spans="2:5" ht="13.5">
      <c r="B17" s="10"/>
      <c r="C17" s="35" t="s">
        <v>1096</v>
      </c>
      <c r="D17" s="35"/>
      <c r="E17" s="35" t="s">
        <v>1097</v>
      </c>
    </row>
    <row r="18" spans="1:5" ht="13.5">
      <c r="A18" s="51" t="s">
        <v>259</v>
      </c>
      <c r="B18" s="10" t="s">
        <v>1100</v>
      </c>
      <c r="C18" s="10">
        <f>'主桁'!B407</f>
        <v>510</v>
      </c>
      <c r="D18" s="11" t="str">
        <f>'主桁'!C407</f>
        <v>*</v>
      </c>
      <c r="E18" s="10">
        <f>'主桁'!D407</f>
        <v>36</v>
      </c>
    </row>
    <row r="19" spans="2:5" ht="13.5">
      <c r="B19" s="10" t="s">
        <v>1103</v>
      </c>
      <c r="C19" s="10">
        <f>'主桁'!B408</f>
        <v>2200</v>
      </c>
      <c r="D19" s="11" t="str">
        <f>'主桁'!C408</f>
        <v>*</v>
      </c>
      <c r="E19" s="10">
        <f>'主桁'!D408</f>
        <v>10</v>
      </c>
    </row>
    <row r="20" spans="2:9" ht="13.5">
      <c r="B20" s="10" t="s">
        <v>1426</v>
      </c>
      <c r="C20" s="10">
        <f>'主桁'!B409</f>
        <v>510</v>
      </c>
      <c r="D20" s="11" t="str">
        <f>'主桁'!C409</f>
        <v>*</v>
      </c>
      <c r="E20" s="10">
        <f>'主桁'!D409</f>
        <v>36</v>
      </c>
      <c r="G20" s="51" t="s">
        <v>163</v>
      </c>
      <c r="I20" s="51" t="s">
        <v>164</v>
      </c>
    </row>
    <row r="21" spans="1:10" ht="13.5">
      <c r="A21" s="51" t="s">
        <v>260</v>
      </c>
      <c r="B21" s="10"/>
      <c r="C21" s="35" t="s">
        <v>1096</v>
      </c>
      <c r="D21" s="11"/>
      <c r="E21" s="35" t="s">
        <v>1097</v>
      </c>
      <c r="F21" s="51" t="s">
        <v>263</v>
      </c>
      <c r="G21" s="51">
        <v>1</v>
      </c>
      <c r="H21" s="51">
        <v>5</v>
      </c>
      <c r="I21" s="51">
        <v>1</v>
      </c>
      <c r="J21" s="51">
        <v>5</v>
      </c>
    </row>
    <row r="22" spans="2:10" ht="13.5">
      <c r="B22" s="10" t="s">
        <v>1100</v>
      </c>
      <c r="C22" s="10">
        <f>'主桁'!B438</f>
        <v>450</v>
      </c>
      <c r="D22" s="11" t="str">
        <f>'主桁'!C438</f>
        <v>*</v>
      </c>
      <c r="E22" s="10">
        <f>'主桁'!D438</f>
        <v>36</v>
      </c>
      <c r="G22" s="51">
        <f>(C18-C22)/2</f>
        <v>30</v>
      </c>
      <c r="H22" s="51">
        <f>G22*5</f>
        <v>150</v>
      </c>
      <c r="I22" s="51">
        <f>(E18-E22)/2</f>
        <v>0</v>
      </c>
      <c r="J22" s="51">
        <f>I22*5</f>
        <v>0</v>
      </c>
    </row>
    <row r="23" spans="2:5" ht="13.5">
      <c r="B23" s="10" t="s">
        <v>1103</v>
      </c>
      <c r="C23" s="10">
        <f>'主桁'!B439</f>
        <v>2200</v>
      </c>
      <c r="D23" s="11" t="str">
        <f>'主桁'!C439</f>
        <v>*</v>
      </c>
      <c r="E23" s="10">
        <f>'主桁'!D439</f>
        <v>10</v>
      </c>
    </row>
    <row r="24" spans="2:9" ht="13.5">
      <c r="B24" s="10" t="s">
        <v>1426</v>
      </c>
      <c r="C24" s="10">
        <f>'主桁'!B440</f>
        <v>450</v>
      </c>
      <c r="D24" s="11" t="str">
        <f>'主桁'!C440</f>
        <v>*</v>
      </c>
      <c r="E24" s="10">
        <f>'主桁'!D440</f>
        <v>36</v>
      </c>
      <c r="G24" s="51" t="s">
        <v>163</v>
      </c>
      <c r="I24" s="51" t="s">
        <v>164</v>
      </c>
    </row>
    <row r="25" spans="1:10" ht="13.5">
      <c r="A25" s="51" t="s">
        <v>261</v>
      </c>
      <c r="B25" s="10"/>
      <c r="C25" s="35" t="s">
        <v>1096</v>
      </c>
      <c r="D25" s="11"/>
      <c r="E25" s="35" t="s">
        <v>1097</v>
      </c>
      <c r="F25" s="52" t="s">
        <v>262</v>
      </c>
      <c r="G25" s="51">
        <v>1</v>
      </c>
      <c r="H25" s="51">
        <v>5</v>
      </c>
      <c r="I25" s="51">
        <v>1</v>
      </c>
      <c r="J25" s="51">
        <v>5</v>
      </c>
    </row>
    <row r="26" spans="2:10" ht="13.5">
      <c r="B26" s="10" t="s">
        <v>1100</v>
      </c>
      <c r="C26" s="10">
        <f>'主桁'!B469</f>
        <v>280</v>
      </c>
      <c r="D26" s="11" t="str">
        <f>'主桁'!C469</f>
        <v>*</v>
      </c>
      <c r="E26" s="10">
        <f>'主桁'!D469</f>
        <v>36</v>
      </c>
      <c r="G26" s="51">
        <f>(C22-C26)/2</f>
        <v>85</v>
      </c>
      <c r="H26" s="51">
        <f>G26*5</f>
        <v>425</v>
      </c>
      <c r="I26" s="51">
        <f>(E22-E26)/2</f>
        <v>0</v>
      </c>
      <c r="J26" s="51">
        <f>I26*5</f>
        <v>0</v>
      </c>
    </row>
    <row r="27" spans="2:5" ht="13.5">
      <c r="B27" s="10" t="s">
        <v>1103</v>
      </c>
      <c r="C27" s="10">
        <f>'主桁'!B470</f>
        <v>2200</v>
      </c>
      <c r="D27" s="11" t="str">
        <f>'主桁'!C470</f>
        <v>*</v>
      </c>
      <c r="E27" s="10">
        <f>'主桁'!D470</f>
        <v>10</v>
      </c>
    </row>
    <row r="28" spans="2:5" ht="13.5">
      <c r="B28" s="10" t="s">
        <v>1426</v>
      </c>
      <c r="C28" s="10">
        <f>'主桁'!B471</f>
        <v>280</v>
      </c>
      <c r="D28" s="11" t="str">
        <f>'主桁'!C471</f>
        <v>*</v>
      </c>
      <c r="E28" s="10">
        <f>'主桁'!D471</f>
        <v>36</v>
      </c>
    </row>
  </sheetData>
  <sheetProtection password="AF41" sheet="1" objects="1" scenarios="1"/>
  <printOptions/>
  <pageMargins left="0.75" right="0.75" top="1" bottom="1" header="0.512" footer="0.512"/>
  <pageSetup horizontalDpi="600" verticalDpi="600" orientation="portrait" paperSize="9" scale="96" r:id="rId1"/>
</worksheet>
</file>

<file path=xl/worksheets/sheet15.xml><?xml version="1.0" encoding="utf-8"?>
<worksheet xmlns="http://schemas.openxmlformats.org/spreadsheetml/2006/main" xmlns:r="http://schemas.openxmlformats.org/officeDocument/2006/relationships">
  <sheetPr codeName="Sheet15"/>
  <dimension ref="A1:AF337"/>
  <sheetViews>
    <sheetView zoomScale="85" zoomScaleNormal="85" zoomScaleSheetLayoutView="80" zoomScalePageLayoutView="0" workbookViewId="0" topLeftCell="F248">
      <selection activeCell="S191" sqref="S191:U192"/>
    </sheetView>
  </sheetViews>
  <sheetFormatPr defaultColWidth="9.00390625" defaultRowHeight="13.5"/>
  <cols>
    <col min="1" max="1" width="2.375" style="2" customWidth="1"/>
    <col min="2" max="2" width="6.125" style="2" customWidth="1"/>
    <col min="3" max="3" width="7.875" style="2" customWidth="1"/>
    <col min="4" max="4" width="9.00390625" style="2" customWidth="1"/>
    <col min="5" max="6" width="6.50390625" style="2" customWidth="1"/>
    <col min="7" max="7" width="9.625" style="2" customWidth="1"/>
    <col min="8" max="12" width="9.00390625" style="2" customWidth="1"/>
    <col min="13" max="13" width="2.375" style="2" customWidth="1"/>
    <col min="14" max="16384" width="9.00390625" style="2" customWidth="1"/>
  </cols>
  <sheetData>
    <row r="1" ht="12">
      <c r="A1" s="2" t="s">
        <v>1424</v>
      </c>
    </row>
    <row r="2" spans="2:6" ht="12">
      <c r="B2" s="2" t="s">
        <v>1012</v>
      </c>
      <c r="E2" s="2">
        <f>'主桁'!B25</f>
        <v>33</v>
      </c>
      <c r="F2" s="2" t="s">
        <v>44</v>
      </c>
    </row>
    <row r="3" spans="2:6" ht="12">
      <c r="B3" s="2" t="s">
        <v>1013</v>
      </c>
      <c r="E3" s="64">
        <v>10</v>
      </c>
      <c r="F3" s="2" t="s">
        <v>403</v>
      </c>
    </row>
    <row r="4" spans="4:9" s="10" customFormat="1" ht="12">
      <c r="D4" s="4" t="s">
        <v>1014</v>
      </c>
      <c r="E4" s="2">
        <f>ROUND(E3/E2,3)</f>
        <v>0.303</v>
      </c>
      <c r="G4" s="2" t="s">
        <v>1015</v>
      </c>
      <c r="H4" s="2"/>
      <c r="I4" s="2"/>
    </row>
    <row r="5" spans="7:9" s="10" customFormat="1" ht="12">
      <c r="G5" s="2" t="s">
        <v>1497</v>
      </c>
      <c r="H5" s="2" t="s">
        <v>1498</v>
      </c>
      <c r="I5" s="2" t="s">
        <v>1499</v>
      </c>
    </row>
    <row r="6" spans="7:9" s="10" customFormat="1" ht="12">
      <c r="G6" s="2">
        <v>0</v>
      </c>
      <c r="H6" s="2">
        <f>G7</f>
        <v>4.125</v>
      </c>
      <c r="I6" s="2">
        <f>H7</f>
        <v>8.25</v>
      </c>
    </row>
    <row r="7" spans="7:9" s="10" customFormat="1" ht="12">
      <c r="G7" s="2">
        <f>'主桁'!B363</f>
        <v>4.125</v>
      </c>
      <c r="H7" s="2">
        <f>'主桁'!B332</f>
        <v>8.25</v>
      </c>
      <c r="I7" s="2">
        <f>'主桁'!B301</f>
        <v>16.5</v>
      </c>
    </row>
    <row r="8" spans="7:9" s="10" customFormat="1" ht="12">
      <c r="G8" s="2">
        <f>'主桁'!C391</f>
        <v>419.902</v>
      </c>
      <c r="H8" s="2">
        <f>'主桁'!C360</f>
        <v>552.986</v>
      </c>
      <c r="I8" s="2">
        <f>'主桁'!C329</f>
        <v>674.996</v>
      </c>
    </row>
    <row r="9" spans="7:9" s="10" customFormat="1" ht="12">
      <c r="G9" s="2">
        <f>G8</f>
        <v>419.902</v>
      </c>
      <c r="H9" s="2">
        <f>H8</f>
        <v>552.986</v>
      </c>
      <c r="I9" s="2">
        <f>I8</f>
        <v>674.996</v>
      </c>
    </row>
    <row r="10" spans="7:9" s="10" customFormat="1" ht="12">
      <c r="G10" s="2"/>
      <c r="H10" s="2"/>
      <c r="I10" s="2" t="s">
        <v>1016</v>
      </c>
    </row>
    <row r="11" spans="1:9" s="10" customFormat="1" ht="12">
      <c r="A11" s="10">
        <v>3</v>
      </c>
      <c r="B11" s="6">
        <f>G7</f>
        <v>4.125</v>
      </c>
      <c r="C11" s="6">
        <f>ROUND($F$15*$E$2^2/2*(B11/$E$2*(1-B11/$E$2)),3)</f>
        <v>123.457</v>
      </c>
      <c r="D11" s="6">
        <f>ROUND($F$16*$E$2^2/2*($B11/$E$2*(1-$B11/$E$2)),3)</f>
        <v>31.802</v>
      </c>
      <c r="E11" s="6">
        <f>ROUND(B11*(1-$E$4),3)</f>
        <v>2.875</v>
      </c>
      <c r="F11" s="6">
        <f>$E$2-E11-$E$3</f>
        <v>20.125</v>
      </c>
      <c r="G11" s="6">
        <f>ROUND($F$17*$E$4/2*($E$3+2*F11)*B11-$F$17/2*(B11-E11)^2,3)</f>
        <v>46.729</v>
      </c>
      <c r="H11" s="6">
        <f>ROUND((G11+D11)*$F$18,3)</f>
        <v>19.083</v>
      </c>
      <c r="I11" s="7">
        <f>C11+G11+D11+H11</f>
        <v>221.07099999999997</v>
      </c>
    </row>
    <row r="12" spans="1:9" s="10" customFormat="1" ht="12">
      <c r="A12" s="10">
        <v>2</v>
      </c>
      <c r="B12" s="6">
        <f>H7</f>
        <v>8.25</v>
      </c>
      <c r="C12" s="6">
        <f>ROUND($F$15*$E$2^2/2*(B12/$E$2*(1-B12/$E$2)),3)</f>
        <v>211.64</v>
      </c>
      <c r="D12" s="6">
        <f>ROUND($F$16*$E$2^2/2*($B12/$E$2*(1-$B12/$E$2)),3)</f>
        <v>54.518</v>
      </c>
      <c r="E12" s="6">
        <f>ROUND(B12*(1-$E$4),3)</f>
        <v>5.75</v>
      </c>
      <c r="F12" s="6">
        <f>$E$2-E12-$E$3</f>
        <v>17.25</v>
      </c>
      <c r="G12" s="6">
        <f>ROUND($F$17*$E$4/2*($E$3+2*F12)*B12-$F$17/2*(B12-E12)^2,3)</f>
        <v>80.107</v>
      </c>
      <c r="H12" s="6">
        <f>ROUND((G12+D12)*$F$18,3)</f>
        <v>32.714</v>
      </c>
      <c r="I12" s="7">
        <f>C12+G12+D12+H12</f>
        <v>378.979</v>
      </c>
    </row>
    <row r="13" spans="1:9" s="10" customFormat="1" ht="12">
      <c r="A13" s="10">
        <v>1</v>
      </c>
      <c r="B13" s="6">
        <f>I7</f>
        <v>16.5</v>
      </c>
      <c r="C13" s="6">
        <f>ROUND($F$15*$E$2^2/2*(B13/$E$2*(1-B13/$E$2)),3)</f>
        <v>282.187</v>
      </c>
      <c r="D13" s="6">
        <f>ROUND($F$16*$E$2^2/2*($B13/$E$2*(1-$B13/$E$2)),3)</f>
        <v>72.691</v>
      </c>
      <c r="E13" s="6">
        <f>ROUND(B13*(1-$E$4),3)</f>
        <v>11.501</v>
      </c>
      <c r="F13" s="6">
        <f>$E$2-E13-$E$3</f>
        <v>11.499000000000002</v>
      </c>
      <c r="G13" s="6">
        <f>ROUND($F$17*$E$4/2*($E$3+2*F13)*B13-$F$17/2*(B13-E13)^2,3)</f>
        <v>106.807</v>
      </c>
      <c r="H13" s="6">
        <f>ROUND((G13+D13)*$F$18,3)</f>
        <v>43.618</v>
      </c>
      <c r="I13" s="7">
        <f>C13+G13+D13+H13</f>
        <v>505.30300000000005</v>
      </c>
    </row>
    <row r="14" ht="12">
      <c r="A14" s="2" t="s">
        <v>1017</v>
      </c>
    </row>
    <row r="15" spans="2:8" ht="12">
      <c r="B15" s="2" t="s">
        <v>1018</v>
      </c>
      <c r="D15" s="4" t="s">
        <v>1019</v>
      </c>
      <c r="E15" s="4" t="s">
        <v>336</v>
      </c>
      <c r="F15" s="2">
        <f>'主桁'!B33</f>
        <v>2.073</v>
      </c>
      <c r="G15" s="2" t="s">
        <v>102</v>
      </c>
      <c r="H15" s="2" t="s">
        <v>1020</v>
      </c>
    </row>
    <row r="16" spans="2:8" ht="12">
      <c r="B16" s="2" t="s">
        <v>1021</v>
      </c>
      <c r="E16" s="4" t="s">
        <v>342</v>
      </c>
      <c r="F16" s="2">
        <f>'主桁'!G45</f>
        <v>0.534</v>
      </c>
      <c r="G16" s="2" t="s">
        <v>109</v>
      </c>
      <c r="H16" s="2" t="s">
        <v>1022</v>
      </c>
    </row>
    <row r="17" spans="2:8" ht="12">
      <c r="B17" s="2" t="s">
        <v>1023</v>
      </c>
      <c r="E17" s="4" t="s">
        <v>349</v>
      </c>
      <c r="F17" s="2">
        <f>'主桁'!G41</f>
        <v>1.526</v>
      </c>
      <c r="G17" s="2" t="s">
        <v>109</v>
      </c>
      <c r="H17" s="2" t="s">
        <v>1024</v>
      </c>
    </row>
    <row r="18" spans="2:8" ht="12">
      <c r="B18" s="2" t="s">
        <v>1418</v>
      </c>
      <c r="E18" s="4" t="s">
        <v>1419</v>
      </c>
      <c r="F18" s="4">
        <v>0.243</v>
      </c>
      <c r="H18" s="2" t="s">
        <v>1025</v>
      </c>
    </row>
    <row r="19" spans="2:6" ht="12">
      <c r="B19" s="2" t="s">
        <v>1026</v>
      </c>
      <c r="F19" s="4"/>
    </row>
    <row r="20" spans="2:9" ht="12">
      <c r="B20" s="5" t="s">
        <v>1507</v>
      </c>
      <c r="C20" s="5" t="s">
        <v>1508</v>
      </c>
      <c r="D20" s="5" t="s">
        <v>1509</v>
      </c>
      <c r="E20" s="5" t="s">
        <v>1510</v>
      </c>
      <c r="F20" s="5" t="s">
        <v>1511</v>
      </c>
      <c r="G20" s="5" t="s">
        <v>1512</v>
      </c>
      <c r="H20" s="5" t="s">
        <v>1513</v>
      </c>
      <c r="I20" s="2" t="s">
        <v>1423</v>
      </c>
    </row>
    <row r="21" spans="2:9" ht="12">
      <c r="B21" s="2">
        <v>0</v>
      </c>
      <c r="C21" s="6">
        <f>ROUND($F$15*$E$2^2/2*($B21/$E$2*(1-$B21/$E$2)),3)</f>
        <v>0</v>
      </c>
      <c r="D21" s="6">
        <f aca="true" t="shared" si="0" ref="D21:D52">ROUND($F$16*$E$2^2/2*($B21/$E$2*(1-$B21/$E$2)),3)</f>
        <v>0</v>
      </c>
      <c r="E21" s="6">
        <f aca="true" t="shared" si="1" ref="E21:E52">ROUND(B21*(1-$E$4),3)</f>
        <v>0</v>
      </c>
      <c r="F21" s="6">
        <f aca="true" t="shared" si="2" ref="F21:F53">$E$2-E21-$E$3</f>
        <v>23</v>
      </c>
      <c r="G21" s="6">
        <v>0</v>
      </c>
      <c r="H21" s="6">
        <f>ROUND((G21+D21)*$F$18,3)</f>
        <v>0</v>
      </c>
      <c r="I21" s="7">
        <f aca="true" t="shared" si="3" ref="I21:I53">C21+G21+D21+H21</f>
        <v>0</v>
      </c>
    </row>
    <row r="22" spans="2:9" ht="12">
      <c r="B22" s="36">
        <f aca="true" t="shared" si="4" ref="B22:B54">B21+0.25</f>
        <v>0.25</v>
      </c>
      <c r="C22" s="6">
        <f aca="true" t="shared" si="5" ref="C22:C53">ROUND($F$15*$E$2^2/2*(B22/$E$2*(1-B22/$E$2)),3)</f>
        <v>8.486</v>
      </c>
      <c r="D22" s="6">
        <f t="shared" si="0"/>
        <v>2.186</v>
      </c>
      <c r="E22" s="6">
        <f t="shared" si="1"/>
        <v>0.174</v>
      </c>
      <c r="F22" s="6">
        <f t="shared" si="2"/>
        <v>22.826</v>
      </c>
      <c r="G22" s="6">
        <f aca="true" t="shared" si="6" ref="G22:G53">ROUND($F$17*$E$4/2*($E$3+2*F22)*B22-$F$17/2*(B22-E22)^2,3)</f>
        <v>3.212</v>
      </c>
      <c r="H22" s="6">
        <f aca="true" t="shared" si="7" ref="H22:H53">ROUND((G22+D22)*$F$18,3)</f>
        <v>1.312</v>
      </c>
      <c r="I22" s="7">
        <f t="shared" si="3"/>
        <v>15.196</v>
      </c>
    </row>
    <row r="23" spans="2:9" ht="12">
      <c r="B23" s="36">
        <f t="shared" si="4"/>
        <v>0.5</v>
      </c>
      <c r="C23" s="6">
        <f t="shared" si="5"/>
        <v>16.843</v>
      </c>
      <c r="D23" s="6">
        <f t="shared" si="0"/>
        <v>4.339</v>
      </c>
      <c r="E23" s="6">
        <f t="shared" si="1"/>
        <v>0.349</v>
      </c>
      <c r="F23" s="6">
        <f t="shared" si="2"/>
        <v>22.651000000000003</v>
      </c>
      <c r="G23" s="6">
        <f t="shared" si="6"/>
        <v>6.375</v>
      </c>
      <c r="H23" s="6">
        <f t="shared" si="7"/>
        <v>2.604</v>
      </c>
      <c r="I23" s="7">
        <f t="shared" si="3"/>
        <v>30.161</v>
      </c>
    </row>
    <row r="24" spans="2:9" ht="12">
      <c r="B24" s="36">
        <f t="shared" si="4"/>
        <v>0.75</v>
      </c>
      <c r="C24" s="6">
        <f t="shared" si="5"/>
        <v>25.07</v>
      </c>
      <c r="D24" s="6">
        <f t="shared" si="0"/>
        <v>6.458</v>
      </c>
      <c r="E24" s="6">
        <f t="shared" si="1"/>
        <v>0.523</v>
      </c>
      <c r="F24" s="6">
        <f t="shared" si="2"/>
        <v>22.476999999999997</v>
      </c>
      <c r="G24" s="6">
        <f t="shared" si="6"/>
        <v>9.489</v>
      </c>
      <c r="H24" s="6">
        <f t="shared" si="7"/>
        <v>3.875</v>
      </c>
      <c r="I24" s="7">
        <f t="shared" si="3"/>
        <v>44.891999999999996</v>
      </c>
    </row>
    <row r="25" spans="2:9" ht="12">
      <c r="B25" s="36">
        <f t="shared" si="4"/>
        <v>1</v>
      </c>
      <c r="C25" s="6">
        <f t="shared" si="5"/>
        <v>33.168</v>
      </c>
      <c r="D25" s="6">
        <f t="shared" si="0"/>
        <v>8.544</v>
      </c>
      <c r="E25" s="6">
        <f t="shared" si="1"/>
        <v>0.697</v>
      </c>
      <c r="F25" s="6">
        <f t="shared" si="2"/>
        <v>22.302999999999997</v>
      </c>
      <c r="G25" s="6">
        <f t="shared" si="6"/>
        <v>12.554</v>
      </c>
      <c r="H25" s="6">
        <f t="shared" si="7"/>
        <v>5.127</v>
      </c>
      <c r="I25" s="7">
        <f t="shared" si="3"/>
        <v>59.39300000000001</v>
      </c>
    </row>
    <row r="26" spans="2:9" ht="12">
      <c r="B26" s="36">
        <f t="shared" si="4"/>
        <v>1.25</v>
      </c>
      <c r="C26" s="6">
        <f t="shared" si="5"/>
        <v>41.136</v>
      </c>
      <c r="D26" s="6">
        <f t="shared" si="0"/>
        <v>10.597</v>
      </c>
      <c r="E26" s="6">
        <f t="shared" si="1"/>
        <v>0.871</v>
      </c>
      <c r="F26" s="6">
        <f t="shared" si="2"/>
        <v>22.128999999999998</v>
      </c>
      <c r="G26" s="6">
        <f t="shared" si="6"/>
        <v>15.57</v>
      </c>
      <c r="H26" s="6">
        <f t="shared" si="7"/>
        <v>6.359</v>
      </c>
      <c r="I26" s="7">
        <f t="shared" si="3"/>
        <v>73.66199999999999</v>
      </c>
    </row>
    <row r="27" spans="2:9" ht="12">
      <c r="B27" s="36">
        <f t="shared" si="4"/>
        <v>1.5</v>
      </c>
      <c r="C27" s="6">
        <f t="shared" si="5"/>
        <v>48.975</v>
      </c>
      <c r="D27" s="6">
        <f t="shared" si="0"/>
        <v>12.616</v>
      </c>
      <c r="E27" s="6">
        <f t="shared" si="1"/>
        <v>1.046</v>
      </c>
      <c r="F27" s="6">
        <f t="shared" si="2"/>
        <v>21.954</v>
      </c>
      <c r="G27" s="6">
        <f t="shared" si="6"/>
        <v>18.537</v>
      </c>
      <c r="H27" s="6">
        <f t="shared" si="7"/>
        <v>7.57</v>
      </c>
      <c r="I27" s="7">
        <f t="shared" si="3"/>
        <v>87.69800000000001</v>
      </c>
    </row>
    <row r="28" spans="2:9" ht="12">
      <c r="B28" s="36">
        <f t="shared" si="4"/>
        <v>1.75</v>
      </c>
      <c r="C28" s="6">
        <f t="shared" si="5"/>
        <v>56.684</v>
      </c>
      <c r="D28" s="6">
        <f t="shared" si="0"/>
        <v>14.602</v>
      </c>
      <c r="E28" s="6">
        <f t="shared" si="1"/>
        <v>1.22</v>
      </c>
      <c r="F28" s="6">
        <f t="shared" si="2"/>
        <v>21.78</v>
      </c>
      <c r="G28" s="6">
        <f t="shared" si="6"/>
        <v>21.455</v>
      </c>
      <c r="H28" s="6">
        <f t="shared" si="7"/>
        <v>8.762</v>
      </c>
      <c r="I28" s="7">
        <f t="shared" si="3"/>
        <v>101.503</v>
      </c>
    </row>
    <row r="29" spans="2:9" ht="12">
      <c r="B29" s="36">
        <f t="shared" si="4"/>
        <v>2</v>
      </c>
      <c r="C29" s="6">
        <f t="shared" si="5"/>
        <v>64.263</v>
      </c>
      <c r="D29" s="6">
        <f t="shared" si="0"/>
        <v>16.554</v>
      </c>
      <c r="E29" s="6">
        <f t="shared" si="1"/>
        <v>1.394</v>
      </c>
      <c r="F29" s="6">
        <f t="shared" si="2"/>
        <v>21.606</v>
      </c>
      <c r="G29" s="6">
        <f t="shared" si="6"/>
        <v>24.324</v>
      </c>
      <c r="H29" s="6">
        <f t="shared" si="7"/>
        <v>9.933</v>
      </c>
      <c r="I29" s="7">
        <f t="shared" si="3"/>
        <v>115.07400000000001</v>
      </c>
    </row>
    <row r="30" spans="2:9" ht="12">
      <c r="B30" s="36">
        <f t="shared" si="4"/>
        <v>2.25</v>
      </c>
      <c r="C30" s="6">
        <f t="shared" si="5"/>
        <v>71.713</v>
      </c>
      <c r="D30" s="6">
        <f t="shared" si="0"/>
        <v>18.473</v>
      </c>
      <c r="E30" s="6">
        <f t="shared" si="1"/>
        <v>1.568</v>
      </c>
      <c r="F30" s="6">
        <f t="shared" si="2"/>
        <v>21.432</v>
      </c>
      <c r="G30" s="6">
        <f t="shared" si="6"/>
        <v>27.144</v>
      </c>
      <c r="H30" s="6">
        <f t="shared" si="7"/>
        <v>11.085</v>
      </c>
      <c r="I30" s="7">
        <f t="shared" si="3"/>
        <v>128.415</v>
      </c>
    </row>
    <row r="31" spans="2:9" ht="12">
      <c r="B31" s="36">
        <f t="shared" si="4"/>
        <v>2.5</v>
      </c>
      <c r="C31" s="6">
        <f t="shared" si="5"/>
        <v>79.033</v>
      </c>
      <c r="D31" s="6">
        <f t="shared" si="0"/>
        <v>20.359</v>
      </c>
      <c r="E31" s="6">
        <f t="shared" si="1"/>
        <v>1.743</v>
      </c>
      <c r="F31" s="6">
        <f t="shared" si="2"/>
        <v>21.257</v>
      </c>
      <c r="G31" s="6">
        <f t="shared" si="6"/>
        <v>29.914</v>
      </c>
      <c r="H31" s="6">
        <f t="shared" si="7"/>
        <v>12.216</v>
      </c>
      <c r="I31" s="7">
        <f t="shared" si="3"/>
        <v>141.52200000000002</v>
      </c>
    </row>
    <row r="32" spans="2:9" ht="12">
      <c r="B32" s="36">
        <f t="shared" si="4"/>
        <v>2.75</v>
      </c>
      <c r="C32" s="6">
        <f t="shared" si="5"/>
        <v>86.224</v>
      </c>
      <c r="D32" s="6">
        <f t="shared" si="0"/>
        <v>22.211</v>
      </c>
      <c r="E32" s="6">
        <f t="shared" si="1"/>
        <v>1.917</v>
      </c>
      <c r="F32" s="6">
        <f t="shared" si="2"/>
        <v>21.083</v>
      </c>
      <c r="G32" s="6">
        <f t="shared" si="6"/>
        <v>32.636</v>
      </c>
      <c r="H32" s="6">
        <f t="shared" si="7"/>
        <v>13.328</v>
      </c>
      <c r="I32" s="7">
        <f t="shared" si="3"/>
        <v>154.39900000000003</v>
      </c>
    </row>
    <row r="33" spans="2:9" ht="12">
      <c r="B33" s="36">
        <f t="shared" si="4"/>
        <v>3</v>
      </c>
      <c r="C33" s="6">
        <f t="shared" si="5"/>
        <v>93.285</v>
      </c>
      <c r="D33" s="6">
        <f t="shared" si="0"/>
        <v>24.03</v>
      </c>
      <c r="E33" s="6">
        <f t="shared" si="1"/>
        <v>2.091</v>
      </c>
      <c r="F33" s="6">
        <f t="shared" si="2"/>
        <v>20.909</v>
      </c>
      <c r="G33" s="6">
        <f t="shared" si="6"/>
        <v>35.309</v>
      </c>
      <c r="H33" s="6">
        <f t="shared" si="7"/>
        <v>14.419</v>
      </c>
      <c r="I33" s="7">
        <f t="shared" si="3"/>
        <v>167.043</v>
      </c>
    </row>
    <row r="34" spans="2:9" ht="12">
      <c r="B34" s="36">
        <f t="shared" si="4"/>
        <v>3.25</v>
      </c>
      <c r="C34" s="6">
        <f t="shared" si="5"/>
        <v>100.217</v>
      </c>
      <c r="D34" s="6">
        <f t="shared" si="0"/>
        <v>25.816</v>
      </c>
      <c r="E34" s="6">
        <f t="shared" si="1"/>
        <v>2.265</v>
      </c>
      <c r="F34" s="6">
        <f t="shared" si="2"/>
        <v>20.735</v>
      </c>
      <c r="G34" s="6">
        <f t="shared" si="6"/>
        <v>37.932</v>
      </c>
      <c r="H34" s="6">
        <f t="shared" si="7"/>
        <v>15.491</v>
      </c>
      <c r="I34" s="7">
        <f t="shared" si="3"/>
        <v>179.45600000000002</v>
      </c>
    </row>
    <row r="35" spans="2:9" ht="12">
      <c r="B35" s="36">
        <f t="shared" si="4"/>
        <v>3.5</v>
      </c>
      <c r="C35" s="6">
        <f t="shared" si="5"/>
        <v>107.019</v>
      </c>
      <c r="D35" s="6">
        <f t="shared" si="0"/>
        <v>27.568</v>
      </c>
      <c r="E35" s="6">
        <f t="shared" si="1"/>
        <v>2.44</v>
      </c>
      <c r="F35" s="6">
        <f t="shared" si="2"/>
        <v>20.56</v>
      </c>
      <c r="G35" s="6">
        <f t="shared" si="6"/>
        <v>40.507</v>
      </c>
      <c r="H35" s="6">
        <f t="shared" si="7"/>
        <v>16.542</v>
      </c>
      <c r="I35" s="7">
        <f t="shared" si="3"/>
        <v>191.63600000000002</v>
      </c>
    </row>
    <row r="36" spans="2:9" ht="12">
      <c r="B36" s="36">
        <f t="shared" si="4"/>
        <v>3.75</v>
      </c>
      <c r="C36" s="6">
        <f t="shared" si="5"/>
        <v>113.691</v>
      </c>
      <c r="D36" s="6">
        <f t="shared" si="0"/>
        <v>29.287</v>
      </c>
      <c r="E36" s="6">
        <f t="shared" si="1"/>
        <v>2.614</v>
      </c>
      <c r="F36" s="6">
        <f t="shared" si="2"/>
        <v>20.386</v>
      </c>
      <c r="G36" s="6">
        <f t="shared" si="6"/>
        <v>43.033</v>
      </c>
      <c r="H36" s="6">
        <f t="shared" si="7"/>
        <v>17.574</v>
      </c>
      <c r="I36" s="7">
        <f t="shared" si="3"/>
        <v>203.585</v>
      </c>
    </row>
    <row r="37" spans="2:9" ht="12">
      <c r="B37" s="36">
        <f t="shared" si="4"/>
        <v>4</v>
      </c>
      <c r="C37" s="6">
        <f t="shared" si="5"/>
        <v>120.234</v>
      </c>
      <c r="D37" s="6">
        <f t="shared" si="0"/>
        <v>30.972</v>
      </c>
      <c r="E37" s="6">
        <f t="shared" si="1"/>
        <v>2.788</v>
      </c>
      <c r="F37" s="6">
        <f t="shared" si="2"/>
        <v>20.212</v>
      </c>
      <c r="G37" s="6">
        <f t="shared" si="6"/>
        <v>45.509</v>
      </c>
      <c r="H37" s="6">
        <f t="shared" si="7"/>
        <v>18.585</v>
      </c>
      <c r="I37" s="7">
        <f t="shared" si="3"/>
        <v>215.3</v>
      </c>
    </row>
    <row r="38" spans="2:9" ht="12">
      <c r="B38" s="3">
        <v>4.125</v>
      </c>
      <c r="C38" s="37">
        <f t="shared" si="5"/>
        <v>123.457</v>
      </c>
      <c r="D38" s="37">
        <f t="shared" si="0"/>
        <v>31.802</v>
      </c>
      <c r="E38" s="37">
        <f t="shared" si="1"/>
        <v>2.875</v>
      </c>
      <c r="F38" s="37">
        <f t="shared" si="2"/>
        <v>20.125</v>
      </c>
      <c r="G38" s="37">
        <f t="shared" si="6"/>
        <v>46.729</v>
      </c>
      <c r="H38" s="37">
        <f t="shared" si="7"/>
        <v>19.083</v>
      </c>
      <c r="I38" s="38">
        <f t="shared" si="3"/>
        <v>221.07099999999997</v>
      </c>
    </row>
    <row r="39" spans="2:9" ht="12">
      <c r="B39" s="36">
        <f>B37+0.25</f>
        <v>4.25</v>
      </c>
      <c r="C39" s="6">
        <f t="shared" si="5"/>
        <v>126.647</v>
      </c>
      <c r="D39" s="6">
        <f t="shared" si="0"/>
        <v>32.624</v>
      </c>
      <c r="E39" s="6">
        <f t="shared" si="1"/>
        <v>2.962</v>
      </c>
      <c r="F39" s="6">
        <f t="shared" si="2"/>
        <v>20.038</v>
      </c>
      <c r="G39" s="6">
        <f t="shared" si="6"/>
        <v>47.937</v>
      </c>
      <c r="H39" s="6">
        <f t="shared" si="7"/>
        <v>19.576</v>
      </c>
      <c r="I39" s="7">
        <f t="shared" si="3"/>
        <v>226.784</v>
      </c>
    </row>
    <row r="40" spans="2:9" ht="12">
      <c r="B40" s="36">
        <f t="shared" si="4"/>
        <v>4.5</v>
      </c>
      <c r="C40" s="6">
        <f t="shared" si="5"/>
        <v>132.931</v>
      </c>
      <c r="D40" s="6">
        <f t="shared" si="0"/>
        <v>34.243</v>
      </c>
      <c r="E40" s="6">
        <f t="shared" si="1"/>
        <v>3.137</v>
      </c>
      <c r="F40" s="6">
        <f t="shared" si="2"/>
        <v>19.863</v>
      </c>
      <c r="G40" s="6">
        <f t="shared" si="6"/>
        <v>50.315</v>
      </c>
      <c r="H40" s="6">
        <f t="shared" si="7"/>
        <v>20.548</v>
      </c>
      <c r="I40" s="7">
        <f t="shared" si="3"/>
        <v>238.037</v>
      </c>
    </row>
    <row r="41" spans="2:9" ht="12">
      <c r="B41" s="36">
        <f>B40+0.25</f>
        <v>4.75</v>
      </c>
      <c r="C41" s="6">
        <f t="shared" si="5"/>
        <v>139.085</v>
      </c>
      <c r="D41" s="6">
        <f t="shared" si="0"/>
        <v>35.828</v>
      </c>
      <c r="E41" s="6">
        <f t="shared" si="1"/>
        <v>3.311</v>
      </c>
      <c r="F41" s="6">
        <f t="shared" si="2"/>
        <v>19.689</v>
      </c>
      <c r="G41" s="6">
        <f t="shared" si="6"/>
        <v>52.644</v>
      </c>
      <c r="H41" s="6">
        <f t="shared" si="7"/>
        <v>21.499</v>
      </c>
      <c r="I41" s="7">
        <f t="shared" si="3"/>
        <v>249.056</v>
      </c>
    </row>
    <row r="42" spans="2:9" ht="12">
      <c r="B42" s="36">
        <f t="shared" si="4"/>
        <v>5</v>
      </c>
      <c r="C42" s="6">
        <f t="shared" si="5"/>
        <v>145.11</v>
      </c>
      <c r="D42" s="6">
        <f t="shared" si="0"/>
        <v>37.38</v>
      </c>
      <c r="E42" s="6">
        <f t="shared" si="1"/>
        <v>3.485</v>
      </c>
      <c r="F42" s="6">
        <f t="shared" si="2"/>
        <v>19.515</v>
      </c>
      <c r="G42" s="6">
        <f t="shared" si="6"/>
        <v>54.925</v>
      </c>
      <c r="H42" s="6">
        <f t="shared" si="7"/>
        <v>22.43</v>
      </c>
      <c r="I42" s="7">
        <f t="shared" si="3"/>
        <v>259.845</v>
      </c>
    </row>
    <row r="43" spans="2:9" ht="12">
      <c r="B43" s="36">
        <f t="shared" si="4"/>
        <v>5.25</v>
      </c>
      <c r="C43" s="6">
        <f t="shared" si="5"/>
        <v>151.005</v>
      </c>
      <c r="D43" s="6">
        <f t="shared" si="0"/>
        <v>38.899</v>
      </c>
      <c r="E43" s="6">
        <f t="shared" si="1"/>
        <v>3.659</v>
      </c>
      <c r="F43" s="6">
        <f t="shared" si="2"/>
        <v>19.341</v>
      </c>
      <c r="G43" s="6">
        <f t="shared" si="6"/>
        <v>57.156</v>
      </c>
      <c r="H43" s="6">
        <f t="shared" si="7"/>
        <v>23.341</v>
      </c>
      <c r="I43" s="7">
        <f t="shared" si="3"/>
        <v>270.401</v>
      </c>
    </row>
    <row r="44" spans="2:9" ht="12">
      <c r="B44" s="16">
        <f t="shared" si="4"/>
        <v>5.5</v>
      </c>
      <c r="C44" s="39">
        <f t="shared" si="5"/>
        <v>156.771</v>
      </c>
      <c r="D44" s="39">
        <f t="shared" si="0"/>
        <v>40.384</v>
      </c>
      <c r="E44" s="39">
        <f t="shared" si="1"/>
        <v>3.834</v>
      </c>
      <c r="F44" s="39">
        <f t="shared" si="2"/>
        <v>19.166</v>
      </c>
      <c r="G44" s="39">
        <f t="shared" si="6"/>
        <v>59.338</v>
      </c>
      <c r="H44" s="39">
        <f t="shared" si="7"/>
        <v>24.232</v>
      </c>
      <c r="I44" s="40">
        <f t="shared" si="3"/>
        <v>280.725</v>
      </c>
    </row>
    <row r="45" spans="2:9" ht="12">
      <c r="B45" s="36">
        <f t="shared" si="4"/>
        <v>5.75</v>
      </c>
      <c r="C45" s="6">
        <f t="shared" si="5"/>
        <v>162.407</v>
      </c>
      <c r="D45" s="6">
        <f t="shared" si="0"/>
        <v>41.836</v>
      </c>
      <c r="E45" s="6">
        <f t="shared" si="1"/>
        <v>4.008</v>
      </c>
      <c r="F45" s="6">
        <f t="shared" si="2"/>
        <v>18.992</v>
      </c>
      <c r="G45" s="6">
        <f t="shared" si="6"/>
        <v>61.472</v>
      </c>
      <c r="H45" s="6">
        <f t="shared" si="7"/>
        <v>25.104</v>
      </c>
      <c r="I45" s="7">
        <f t="shared" si="3"/>
        <v>290.819</v>
      </c>
    </row>
    <row r="46" spans="2:9" ht="12">
      <c r="B46" s="36">
        <f t="shared" si="4"/>
        <v>6</v>
      </c>
      <c r="C46" s="6">
        <f t="shared" si="5"/>
        <v>167.913</v>
      </c>
      <c r="D46" s="6">
        <f t="shared" si="0"/>
        <v>43.254</v>
      </c>
      <c r="E46" s="6">
        <f t="shared" si="1"/>
        <v>4.182</v>
      </c>
      <c r="F46" s="6">
        <f t="shared" si="2"/>
        <v>18.817999999999998</v>
      </c>
      <c r="G46" s="6">
        <f t="shared" si="6"/>
        <v>63.556</v>
      </c>
      <c r="H46" s="6">
        <f t="shared" si="7"/>
        <v>25.955</v>
      </c>
      <c r="I46" s="7">
        <f t="shared" si="3"/>
        <v>300.678</v>
      </c>
    </row>
    <row r="47" spans="2:9" ht="12">
      <c r="B47" s="36">
        <f t="shared" si="4"/>
        <v>6.25</v>
      </c>
      <c r="C47" s="6">
        <f t="shared" si="5"/>
        <v>173.29</v>
      </c>
      <c r="D47" s="6">
        <f t="shared" si="0"/>
        <v>44.639</v>
      </c>
      <c r="E47" s="6">
        <f t="shared" si="1"/>
        <v>4.356</v>
      </c>
      <c r="F47" s="6">
        <f t="shared" si="2"/>
        <v>18.644</v>
      </c>
      <c r="G47" s="6">
        <f t="shared" si="6"/>
        <v>65.591</v>
      </c>
      <c r="H47" s="6">
        <f t="shared" si="7"/>
        <v>26.786</v>
      </c>
      <c r="I47" s="7">
        <f t="shared" si="3"/>
        <v>310.306</v>
      </c>
    </row>
    <row r="48" spans="2:9" ht="12">
      <c r="B48" s="36">
        <f t="shared" si="4"/>
        <v>6.5</v>
      </c>
      <c r="C48" s="6">
        <f t="shared" si="5"/>
        <v>178.537</v>
      </c>
      <c r="D48" s="6">
        <f t="shared" si="0"/>
        <v>45.991</v>
      </c>
      <c r="E48" s="6">
        <f t="shared" si="1"/>
        <v>4.531</v>
      </c>
      <c r="F48" s="6">
        <f t="shared" si="2"/>
        <v>18.469</v>
      </c>
      <c r="G48" s="6">
        <f t="shared" si="6"/>
        <v>67.577</v>
      </c>
      <c r="H48" s="6">
        <f t="shared" si="7"/>
        <v>27.597</v>
      </c>
      <c r="I48" s="7">
        <f t="shared" si="3"/>
        <v>319.702</v>
      </c>
    </row>
    <row r="49" spans="2:9" ht="12">
      <c r="B49" s="36">
        <f t="shared" si="4"/>
        <v>6.75</v>
      </c>
      <c r="C49" s="6">
        <f t="shared" si="5"/>
        <v>183.655</v>
      </c>
      <c r="D49" s="6">
        <f t="shared" si="0"/>
        <v>47.309</v>
      </c>
      <c r="E49" s="6">
        <f t="shared" si="1"/>
        <v>4.705</v>
      </c>
      <c r="F49" s="6">
        <f t="shared" si="2"/>
        <v>18.295</v>
      </c>
      <c r="G49" s="6">
        <f t="shared" si="6"/>
        <v>69.514</v>
      </c>
      <c r="H49" s="6">
        <f t="shared" si="7"/>
        <v>28.388</v>
      </c>
      <c r="I49" s="7">
        <f t="shared" si="3"/>
        <v>328.86599999999993</v>
      </c>
    </row>
    <row r="50" spans="2:9" ht="12">
      <c r="B50" s="36">
        <f t="shared" si="4"/>
        <v>7</v>
      </c>
      <c r="C50" s="6">
        <f t="shared" si="5"/>
        <v>188.643</v>
      </c>
      <c r="D50" s="6">
        <f t="shared" si="0"/>
        <v>48.594</v>
      </c>
      <c r="E50" s="6">
        <f t="shared" si="1"/>
        <v>4.879</v>
      </c>
      <c r="F50" s="6">
        <f t="shared" si="2"/>
        <v>18.121000000000002</v>
      </c>
      <c r="G50" s="6">
        <f t="shared" si="6"/>
        <v>71.402</v>
      </c>
      <c r="H50" s="6">
        <f t="shared" si="7"/>
        <v>29.159</v>
      </c>
      <c r="I50" s="7">
        <f t="shared" si="3"/>
        <v>337.798</v>
      </c>
    </row>
    <row r="51" spans="2:9" ht="12">
      <c r="B51" s="36">
        <f t="shared" si="4"/>
        <v>7.25</v>
      </c>
      <c r="C51" s="6">
        <f t="shared" si="5"/>
        <v>193.502</v>
      </c>
      <c r="D51" s="6">
        <f t="shared" si="0"/>
        <v>49.846</v>
      </c>
      <c r="E51" s="6">
        <f t="shared" si="1"/>
        <v>5.053</v>
      </c>
      <c r="F51" s="6">
        <f t="shared" si="2"/>
        <v>17.947</v>
      </c>
      <c r="G51" s="6">
        <f t="shared" si="6"/>
        <v>73.241</v>
      </c>
      <c r="H51" s="6">
        <f t="shared" si="7"/>
        <v>29.91</v>
      </c>
      <c r="I51" s="7">
        <f t="shared" si="3"/>
        <v>346.499</v>
      </c>
    </row>
    <row r="52" spans="2:9" ht="12">
      <c r="B52" s="36">
        <f t="shared" si="4"/>
        <v>7.5</v>
      </c>
      <c r="C52" s="6">
        <f t="shared" si="5"/>
        <v>198.231</v>
      </c>
      <c r="D52" s="6">
        <f t="shared" si="0"/>
        <v>51.064</v>
      </c>
      <c r="E52" s="6">
        <f t="shared" si="1"/>
        <v>5.228</v>
      </c>
      <c r="F52" s="6">
        <f t="shared" si="2"/>
        <v>17.772</v>
      </c>
      <c r="G52" s="6">
        <f t="shared" si="6"/>
        <v>75.031</v>
      </c>
      <c r="H52" s="6">
        <f t="shared" si="7"/>
        <v>30.641</v>
      </c>
      <c r="I52" s="7">
        <f t="shared" si="3"/>
        <v>354.96700000000004</v>
      </c>
    </row>
    <row r="53" spans="2:9" ht="12">
      <c r="B53" s="36">
        <f t="shared" si="4"/>
        <v>7.75</v>
      </c>
      <c r="C53" s="6">
        <f t="shared" si="5"/>
        <v>202.83</v>
      </c>
      <c r="D53" s="6">
        <f aca="true" t="shared" si="8" ref="D53:D88">ROUND($F$16*$E$2^2/2*($B53/$E$2*(1-$B53/$E$2)),3)</f>
        <v>52.249</v>
      </c>
      <c r="E53" s="6">
        <f aca="true" t="shared" si="9" ref="E53:E88">ROUND(B53*(1-$E$4),3)</f>
        <v>5.402</v>
      </c>
      <c r="F53" s="6">
        <f t="shared" si="2"/>
        <v>17.598</v>
      </c>
      <c r="G53" s="6">
        <f t="shared" si="6"/>
        <v>76.772</v>
      </c>
      <c r="H53" s="6">
        <f t="shared" si="7"/>
        <v>31.352</v>
      </c>
      <c r="I53" s="7">
        <f t="shared" si="3"/>
        <v>363.20300000000003</v>
      </c>
    </row>
    <row r="54" spans="2:9" ht="12">
      <c r="B54" s="36">
        <f t="shared" si="4"/>
        <v>8</v>
      </c>
      <c r="C54" s="6">
        <f aca="true" t="shared" si="10" ref="C54:C85">ROUND($F$15*$E$2^2/2*(B54/$E$2*(1-B54/$E$2)),3)</f>
        <v>207.3</v>
      </c>
      <c r="D54" s="6">
        <f t="shared" si="8"/>
        <v>53.4</v>
      </c>
      <c r="E54" s="6">
        <f t="shared" si="9"/>
        <v>5.576</v>
      </c>
      <c r="F54" s="6">
        <f aca="true" t="shared" si="11" ref="F54:F88">$E$2-E54-$E$3</f>
        <v>17.424</v>
      </c>
      <c r="G54" s="6">
        <f aca="true" t="shared" si="12" ref="G54:G85">ROUND($F$17*$E$4/2*($E$3+2*F54)*B54-$F$17/2*(B54-E54)^2,3)</f>
        <v>78.464</v>
      </c>
      <c r="H54" s="6">
        <f aca="true" t="shared" si="13" ref="H54:H88">ROUND((G54+D54)*$F$18,3)</f>
        <v>32.043</v>
      </c>
      <c r="I54" s="7">
        <f aca="true" t="shared" si="14" ref="I54:I88">C54+G54+D54+H54</f>
        <v>371.207</v>
      </c>
    </row>
    <row r="55" spans="2:9" ht="12">
      <c r="B55" s="41">
        <f aca="true" t="shared" si="15" ref="B55:B88">B54+0.25</f>
        <v>8.25</v>
      </c>
      <c r="C55" s="37">
        <f t="shared" si="10"/>
        <v>211.64</v>
      </c>
      <c r="D55" s="37">
        <f t="shared" si="8"/>
        <v>54.518</v>
      </c>
      <c r="E55" s="37">
        <f t="shared" si="9"/>
        <v>5.75</v>
      </c>
      <c r="F55" s="37">
        <f t="shared" si="11"/>
        <v>17.25</v>
      </c>
      <c r="G55" s="37">
        <f t="shared" si="12"/>
        <v>80.107</v>
      </c>
      <c r="H55" s="37">
        <f t="shared" si="13"/>
        <v>32.714</v>
      </c>
      <c r="I55" s="38">
        <f t="shared" si="14"/>
        <v>378.979</v>
      </c>
    </row>
    <row r="56" spans="2:9" ht="12">
      <c r="B56" s="36">
        <f t="shared" si="15"/>
        <v>8.5</v>
      </c>
      <c r="C56" s="6">
        <f t="shared" si="10"/>
        <v>215.851</v>
      </c>
      <c r="D56" s="6">
        <f t="shared" si="8"/>
        <v>55.603</v>
      </c>
      <c r="E56" s="6">
        <f t="shared" si="9"/>
        <v>5.925</v>
      </c>
      <c r="F56" s="6">
        <f t="shared" si="11"/>
        <v>17.075</v>
      </c>
      <c r="G56" s="6">
        <f t="shared" si="12"/>
        <v>81.7</v>
      </c>
      <c r="H56" s="6">
        <f t="shared" si="13"/>
        <v>33.365</v>
      </c>
      <c r="I56" s="7">
        <f t="shared" si="14"/>
        <v>386.519</v>
      </c>
    </row>
    <row r="57" spans="2:9" ht="12">
      <c r="B57" s="36">
        <f t="shared" si="15"/>
        <v>8.75</v>
      </c>
      <c r="C57" s="6">
        <f t="shared" si="10"/>
        <v>219.932</v>
      </c>
      <c r="D57" s="6">
        <f t="shared" si="8"/>
        <v>56.654</v>
      </c>
      <c r="E57" s="6">
        <f t="shared" si="9"/>
        <v>6.099</v>
      </c>
      <c r="F57" s="6">
        <f t="shared" si="11"/>
        <v>16.901</v>
      </c>
      <c r="G57" s="6">
        <f t="shared" si="12"/>
        <v>83.245</v>
      </c>
      <c r="H57" s="6">
        <f t="shared" si="13"/>
        <v>33.995</v>
      </c>
      <c r="I57" s="7">
        <f t="shared" si="14"/>
        <v>393.826</v>
      </c>
    </row>
    <row r="58" spans="2:9" ht="12">
      <c r="B58" s="36">
        <f t="shared" si="15"/>
        <v>9</v>
      </c>
      <c r="C58" s="6">
        <f t="shared" si="10"/>
        <v>223.884</v>
      </c>
      <c r="D58" s="6">
        <f t="shared" si="8"/>
        <v>57.672</v>
      </c>
      <c r="E58" s="6">
        <f t="shared" si="9"/>
        <v>6.273</v>
      </c>
      <c r="F58" s="6">
        <f t="shared" si="11"/>
        <v>16.727</v>
      </c>
      <c r="G58" s="6">
        <f t="shared" si="12"/>
        <v>84.741</v>
      </c>
      <c r="H58" s="6">
        <f t="shared" si="13"/>
        <v>34.606</v>
      </c>
      <c r="I58" s="7">
        <f t="shared" si="14"/>
        <v>400.903</v>
      </c>
    </row>
    <row r="59" spans="2:9" ht="12">
      <c r="B59" s="36">
        <f t="shared" si="15"/>
        <v>9.25</v>
      </c>
      <c r="C59" s="6">
        <f t="shared" si="10"/>
        <v>227.706</v>
      </c>
      <c r="D59" s="6">
        <f t="shared" si="8"/>
        <v>58.657</v>
      </c>
      <c r="E59" s="6">
        <f t="shared" si="9"/>
        <v>6.447</v>
      </c>
      <c r="F59" s="6">
        <f t="shared" si="11"/>
        <v>16.553</v>
      </c>
      <c r="G59" s="6">
        <f t="shared" si="12"/>
        <v>86.187</v>
      </c>
      <c r="H59" s="6">
        <f t="shared" si="13"/>
        <v>35.197</v>
      </c>
      <c r="I59" s="7">
        <f t="shared" si="14"/>
        <v>407.74699999999996</v>
      </c>
    </row>
    <row r="60" spans="2:9" ht="12">
      <c r="B60" s="36">
        <f t="shared" si="15"/>
        <v>9.5</v>
      </c>
      <c r="C60" s="6">
        <f t="shared" si="10"/>
        <v>231.399</v>
      </c>
      <c r="D60" s="6">
        <f t="shared" si="8"/>
        <v>59.608</v>
      </c>
      <c r="E60" s="6">
        <f t="shared" si="9"/>
        <v>6.622</v>
      </c>
      <c r="F60" s="6">
        <f t="shared" si="11"/>
        <v>16.378</v>
      </c>
      <c r="G60" s="6">
        <f t="shared" si="12"/>
        <v>87.585</v>
      </c>
      <c r="H60" s="6">
        <f t="shared" si="13"/>
        <v>35.768</v>
      </c>
      <c r="I60" s="7">
        <f t="shared" si="14"/>
        <v>414.36</v>
      </c>
    </row>
    <row r="61" spans="2:9" ht="12">
      <c r="B61" s="36">
        <f t="shared" si="15"/>
        <v>9.75</v>
      </c>
      <c r="C61" s="6">
        <f t="shared" si="10"/>
        <v>234.962</v>
      </c>
      <c r="D61" s="6">
        <f t="shared" si="8"/>
        <v>60.526</v>
      </c>
      <c r="E61" s="6">
        <f t="shared" si="9"/>
        <v>6.796</v>
      </c>
      <c r="F61" s="6">
        <f t="shared" si="11"/>
        <v>16.204</v>
      </c>
      <c r="G61" s="6">
        <f t="shared" si="12"/>
        <v>88.934</v>
      </c>
      <c r="H61" s="6">
        <f t="shared" si="13"/>
        <v>36.319</v>
      </c>
      <c r="I61" s="7">
        <f t="shared" si="14"/>
        <v>420.741</v>
      </c>
    </row>
    <row r="62" spans="2:9" ht="12">
      <c r="B62" s="36">
        <f t="shared" si="15"/>
        <v>10</v>
      </c>
      <c r="C62" s="6">
        <f t="shared" si="10"/>
        <v>238.395</v>
      </c>
      <c r="D62" s="6">
        <f t="shared" si="8"/>
        <v>61.41</v>
      </c>
      <c r="E62" s="6">
        <f t="shared" si="9"/>
        <v>6.97</v>
      </c>
      <c r="F62" s="6">
        <f t="shared" si="11"/>
        <v>16.03</v>
      </c>
      <c r="G62" s="6">
        <f t="shared" si="12"/>
        <v>90.233</v>
      </c>
      <c r="H62" s="6">
        <f t="shared" si="13"/>
        <v>36.849</v>
      </c>
      <c r="I62" s="7">
        <f t="shared" si="14"/>
        <v>426.887</v>
      </c>
    </row>
    <row r="63" spans="2:9" ht="12">
      <c r="B63" s="36">
        <f t="shared" si="15"/>
        <v>10.25</v>
      </c>
      <c r="C63" s="6">
        <f t="shared" si="10"/>
        <v>241.699</v>
      </c>
      <c r="D63" s="6">
        <f t="shared" si="8"/>
        <v>62.261</v>
      </c>
      <c r="E63" s="6">
        <f t="shared" si="9"/>
        <v>7.144</v>
      </c>
      <c r="F63" s="6">
        <f t="shared" si="11"/>
        <v>15.856000000000002</v>
      </c>
      <c r="G63" s="6">
        <f t="shared" si="12"/>
        <v>91.484</v>
      </c>
      <c r="H63" s="6">
        <f t="shared" si="13"/>
        <v>37.36</v>
      </c>
      <c r="I63" s="7">
        <f t="shared" si="14"/>
        <v>432.80400000000003</v>
      </c>
    </row>
    <row r="64" spans="2:9" ht="12">
      <c r="B64" s="36">
        <f t="shared" si="15"/>
        <v>10.5</v>
      </c>
      <c r="C64" s="6">
        <f t="shared" si="10"/>
        <v>244.873</v>
      </c>
      <c r="D64" s="6">
        <f t="shared" si="8"/>
        <v>63.079</v>
      </c>
      <c r="E64" s="6">
        <f t="shared" si="9"/>
        <v>7.319</v>
      </c>
      <c r="F64" s="6">
        <f t="shared" si="11"/>
        <v>15.681000000000001</v>
      </c>
      <c r="G64" s="6">
        <f t="shared" si="12"/>
        <v>92.685</v>
      </c>
      <c r="H64" s="6">
        <f t="shared" si="13"/>
        <v>37.851</v>
      </c>
      <c r="I64" s="7">
        <f t="shared" si="14"/>
        <v>438.488</v>
      </c>
    </row>
    <row r="65" spans="2:9" ht="12">
      <c r="B65" s="36">
        <f t="shared" si="15"/>
        <v>10.75</v>
      </c>
      <c r="C65" s="6">
        <f t="shared" si="10"/>
        <v>247.918</v>
      </c>
      <c r="D65" s="6">
        <f t="shared" si="8"/>
        <v>63.863</v>
      </c>
      <c r="E65" s="6">
        <f t="shared" si="9"/>
        <v>7.493</v>
      </c>
      <c r="F65" s="6">
        <f t="shared" si="11"/>
        <v>15.506999999999998</v>
      </c>
      <c r="G65" s="6">
        <f t="shared" si="12"/>
        <v>93.837</v>
      </c>
      <c r="H65" s="6">
        <f t="shared" si="13"/>
        <v>38.321</v>
      </c>
      <c r="I65" s="7">
        <f t="shared" si="14"/>
        <v>443.93899999999996</v>
      </c>
    </row>
    <row r="66" spans="2:9" ht="12">
      <c r="B66" s="42">
        <f t="shared" si="15"/>
        <v>11</v>
      </c>
      <c r="C66" s="43">
        <f t="shared" si="10"/>
        <v>250.833</v>
      </c>
      <c r="D66" s="43">
        <f t="shared" si="8"/>
        <v>64.614</v>
      </c>
      <c r="E66" s="43">
        <f t="shared" si="9"/>
        <v>7.667</v>
      </c>
      <c r="F66" s="43">
        <f t="shared" si="11"/>
        <v>15.332999999999998</v>
      </c>
      <c r="G66" s="43">
        <f t="shared" si="12"/>
        <v>94.941</v>
      </c>
      <c r="H66" s="43">
        <f t="shared" si="13"/>
        <v>38.772</v>
      </c>
      <c r="I66" s="44">
        <f t="shared" si="14"/>
        <v>449.16</v>
      </c>
    </row>
    <row r="67" spans="2:9" ht="12">
      <c r="B67" s="36">
        <f t="shared" si="15"/>
        <v>11.25</v>
      </c>
      <c r="C67" s="6">
        <f t="shared" si="10"/>
        <v>253.619</v>
      </c>
      <c r="D67" s="6">
        <f t="shared" si="8"/>
        <v>65.332</v>
      </c>
      <c r="E67" s="6">
        <f t="shared" si="9"/>
        <v>7.841</v>
      </c>
      <c r="F67" s="6">
        <f t="shared" si="11"/>
        <v>15.158999999999999</v>
      </c>
      <c r="G67" s="6">
        <f t="shared" si="12"/>
        <v>95.995</v>
      </c>
      <c r="H67" s="6">
        <f t="shared" si="13"/>
        <v>39.202</v>
      </c>
      <c r="I67" s="7">
        <f t="shared" si="14"/>
        <v>454.148</v>
      </c>
    </row>
    <row r="68" spans="2:9" ht="12">
      <c r="B68" s="36">
        <f t="shared" si="15"/>
        <v>11.5</v>
      </c>
      <c r="C68" s="6">
        <f t="shared" si="10"/>
        <v>256.275</v>
      </c>
      <c r="D68" s="6">
        <f t="shared" si="8"/>
        <v>66.016</v>
      </c>
      <c r="E68" s="6">
        <f t="shared" si="9"/>
        <v>8.016</v>
      </c>
      <c r="F68" s="6">
        <f t="shared" si="11"/>
        <v>14.984000000000002</v>
      </c>
      <c r="G68" s="6">
        <f t="shared" si="12"/>
        <v>97</v>
      </c>
      <c r="H68" s="6">
        <f t="shared" si="13"/>
        <v>39.613</v>
      </c>
      <c r="I68" s="7">
        <f t="shared" si="14"/>
        <v>458.904</v>
      </c>
    </row>
    <row r="69" spans="2:9" ht="12">
      <c r="B69" s="36">
        <f t="shared" si="15"/>
        <v>11.75</v>
      </c>
      <c r="C69" s="6">
        <f t="shared" si="10"/>
        <v>258.801</v>
      </c>
      <c r="D69" s="6">
        <f t="shared" si="8"/>
        <v>66.667</v>
      </c>
      <c r="E69" s="6">
        <f t="shared" si="9"/>
        <v>8.19</v>
      </c>
      <c r="F69" s="6">
        <f t="shared" si="11"/>
        <v>14.810000000000002</v>
      </c>
      <c r="G69" s="6">
        <f t="shared" si="12"/>
        <v>97.957</v>
      </c>
      <c r="H69" s="6">
        <f t="shared" si="13"/>
        <v>40.004</v>
      </c>
      <c r="I69" s="7">
        <f t="shared" si="14"/>
        <v>463.429</v>
      </c>
    </row>
    <row r="70" spans="2:9" ht="12">
      <c r="B70" s="36">
        <f t="shared" si="15"/>
        <v>12</v>
      </c>
      <c r="C70" s="6">
        <f t="shared" si="10"/>
        <v>261.198</v>
      </c>
      <c r="D70" s="6">
        <f t="shared" si="8"/>
        <v>67.284</v>
      </c>
      <c r="E70" s="6">
        <f t="shared" si="9"/>
        <v>8.364</v>
      </c>
      <c r="F70" s="6">
        <f t="shared" si="11"/>
        <v>14.636</v>
      </c>
      <c r="G70" s="6">
        <f t="shared" si="12"/>
        <v>98.864</v>
      </c>
      <c r="H70" s="6">
        <f t="shared" si="13"/>
        <v>40.374</v>
      </c>
      <c r="I70" s="7">
        <f t="shared" si="14"/>
        <v>467.72</v>
      </c>
    </row>
    <row r="71" spans="2:9" ht="12">
      <c r="B71" s="36">
        <f t="shared" si="15"/>
        <v>12.25</v>
      </c>
      <c r="C71" s="6">
        <f t="shared" si="10"/>
        <v>263.465</v>
      </c>
      <c r="D71" s="6">
        <f t="shared" si="8"/>
        <v>67.868</v>
      </c>
      <c r="E71" s="6">
        <f t="shared" si="9"/>
        <v>8.538</v>
      </c>
      <c r="F71" s="6">
        <f t="shared" si="11"/>
        <v>14.462</v>
      </c>
      <c r="G71" s="6">
        <f t="shared" si="12"/>
        <v>99.722</v>
      </c>
      <c r="H71" s="6">
        <f t="shared" si="13"/>
        <v>40.724</v>
      </c>
      <c r="I71" s="7">
        <f t="shared" si="14"/>
        <v>471.77899999999994</v>
      </c>
    </row>
    <row r="72" spans="2:9" ht="12">
      <c r="B72" s="36">
        <f t="shared" si="15"/>
        <v>12.5</v>
      </c>
      <c r="C72" s="6">
        <f t="shared" si="10"/>
        <v>265.603</v>
      </c>
      <c r="D72" s="6">
        <f t="shared" si="8"/>
        <v>68.419</v>
      </c>
      <c r="E72" s="6">
        <f t="shared" si="9"/>
        <v>8.713</v>
      </c>
      <c r="F72" s="6">
        <f t="shared" si="11"/>
        <v>14.286999999999999</v>
      </c>
      <c r="G72" s="6">
        <f t="shared" si="12"/>
        <v>100.531</v>
      </c>
      <c r="H72" s="6">
        <f t="shared" si="13"/>
        <v>41.055</v>
      </c>
      <c r="I72" s="7">
        <f t="shared" si="14"/>
        <v>475.608</v>
      </c>
    </row>
    <row r="73" spans="2:9" ht="12">
      <c r="B73" s="36">
        <f t="shared" si="15"/>
        <v>12.75</v>
      </c>
      <c r="C73" s="6">
        <f t="shared" si="10"/>
        <v>267.611</v>
      </c>
      <c r="D73" s="6">
        <f t="shared" si="8"/>
        <v>68.936</v>
      </c>
      <c r="E73" s="6">
        <f t="shared" si="9"/>
        <v>8.887</v>
      </c>
      <c r="F73" s="6">
        <f t="shared" si="11"/>
        <v>14.113</v>
      </c>
      <c r="G73" s="6">
        <f t="shared" si="12"/>
        <v>101.291</v>
      </c>
      <c r="H73" s="6">
        <f t="shared" si="13"/>
        <v>41.365</v>
      </c>
      <c r="I73" s="7">
        <f t="shared" si="14"/>
        <v>479.203</v>
      </c>
    </row>
    <row r="74" spans="2:9" ht="12">
      <c r="B74" s="36">
        <f t="shared" si="15"/>
        <v>13</v>
      </c>
      <c r="C74" s="6">
        <f t="shared" si="10"/>
        <v>269.49</v>
      </c>
      <c r="D74" s="6">
        <f t="shared" si="8"/>
        <v>69.42</v>
      </c>
      <c r="E74" s="6">
        <f t="shared" si="9"/>
        <v>9.061</v>
      </c>
      <c r="F74" s="6">
        <f t="shared" si="11"/>
        <v>13.939</v>
      </c>
      <c r="G74" s="6">
        <f t="shared" si="12"/>
        <v>102.002</v>
      </c>
      <c r="H74" s="6">
        <f t="shared" si="13"/>
        <v>41.656</v>
      </c>
      <c r="I74" s="7">
        <f t="shared" si="14"/>
        <v>482.56800000000004</v>
      </c>
    </row>
    <row r="75" spans="2:9" ht="12">
      <c r="B75" s="36">
        <f t="shared" si="15"/>
        <v>13.25</v>
      </c>
      <c r="C75" s="6">
        <f t="shared" si="10"/>
        <v>271.239</v>
      </c>
      <c r="D75" s="6">
        <f t="shared" si="8"/>
        <v>69.871</v>
      </c>
      <c r="E75" s="6">
        <f t="shared" si="9"/>
        <v>9.235</v>
      </c>
      <c r="F75" s="6">
        <f t="shared" si="11"/>
        <v>13.765</v>
      </c>
      <c r="G75" s="6">
        <f t="shared" si="12"/>
        <v>102.664</v>
      </c>
      <c r="H75" s="6">
        <f t="shared" si="13"/>
        <v>41.926</v>
      </c>
      <c r="I75" s="7">
        <f t="shared" si="14"/>
        <v>485.69999999999993</v>
      </c>
    </row>
    <row r="76" spans="2:9" ht="12">
      <c r="B76" s="36">
        <f t="shared" si="15"/>
        <v>13.5</v>
      </c>
      <c r="C76" s="6">
        <f t="shared" si="10"/>
        <v>272.859</v>
      </c>
      <c r="D76" s="6">
        <f t="shared" si="8"/>
        <v>70.288</v>
      </c>
      <c r="E76" s="6">
        <f t="shared" si="9"/>
        <v>9.41</v>
      </c>
      <c r="F76" s="6">
        <f t="shared" si="11"/>
        <v>13.59</v>
      </c>
      <c r="G76" s="6">
        <f t="shared" si="12"/>
        <v>103.277</v>
      </c>
      <c r="H76" s="6">
        <f t="shared" si="13"/>
        <v>42.176</v>
      </c>
      <c r="I76" s="7">
        <f t="shared" si="14"/>
        <v>488.59999999999997</v>
      </c>
    </row>
    <row r="77" spans="2:9" ht="12">
      <c r="B77" s="36">
        <f t="shared" si="15"/>
        <v>13.75</v>
      </c>
      <c r="C77" s="6">
        <f t="shared" si="10"/>
        <v>274.349</v>
      </c>
      <c r="D77" s="6">
        <f t="shared" si="8"/>
        <v>70.672</v>
      </c>
      <c r="E77" s="6">
        <f t="shared" si="9"/>
        <v>9.584</v>
      </c>
      <c r="F77" s="6">
        <f t="shared" si="11"/>
        <v>13.416</v>
      </c>
      <c r="G77" s="6">
        <f t="shared" si="12"/>
        <v>103.841</v>
      </c>
      <c r="H77" s="6">
        <f t="shared" si="13"/>
        <v>42.407</v>
      </c>
      <c r="I77" s="7">
        <f t="shared" si="14"/>
        <v>491.26899999999995</v>
      </c>
    </row>
    <row r="78" spans="2:9" ht="12">
      <c r="B78" s="36">
        <f t="shared" si="15"/>
        <v>14</v>
      </c>
      <c r="C78" s="6">
        <f t="shared" si="10"/>
        <v>275.709</v>
      </c>
      <c r="D78" s="6">
        <f t="shared" si="8"/>
        <v>71.022</v>
      </c>
      <c r="E78" s="6">
        <f t="shared" si="9"/>
        <v>9.758</v>
      </c>
      <c r="F78" s="6">
        <f t="shared" si="11"/>
        <v>13.242</v>
      </c>
      <c r="G78" s="6">
        <f t="shared" si="12"/>
        <v>104.356</v>
      </c>
      <c r="H78" s="6">
        <f t="shared" si="13"/>
        <v>42.617</v>
      </c>
      <c r="I78" s="7">
        <f t="shared" si="14"/>
        <v>493.704</v>
      </c>
    </row>
    <row r="79" spans="2:9" ht="12">
      <c r="B79" s="36">
        <f t="shared" si="15"/>
        <v>14.25</v>
      </c>
      <c r="C79" s="6">
        <f t="shared" si="10"/>
        <v>276.94</v>
      </c>
      <c r="D79" s="6">
        <f t="shared" si="8"/>
        <v>71.339</v>
      </c>
      <c r="E79" s="6">
        <f t="shared" si="9"/>
        <v>9.932</v>
      </c>
      <c r="F79" s="6">
        <f t="shared" si="11"/>
        <v>13.067999999999998</v>
      </c>
      <c r="G79" s="6">
        <f t="shared" si="12"/>
        <v>104.822</v>
      </c>
      <c r="H79" s="6">
        <f t="shared" si="13"/>
        <v>42.807</v>
      </c>
      <c r="I79" s="7">
        <f t="shared" si="14"/>
        <v>495.908</v>
      </c>
    </row>
    <row r="80" spans="2:9" ht="12">
      <c r="B80" s="36">
        <f t="shared" si="15"/>
        <v>14.5</v>
      </c>
      <c r="C80" s="6">
        <f t="shared" si="10"/>
        <v>278.041</v>
      </c>
      <c r="D80" s="6">
        <f t="shared" si="8"/>
        <v>71.623</v>
      </c>
      <c r="E80" s="6">
        <f t="shared" si="9"/>
        <v>10.107</v>
      </c>
      <c r="F80" s="6">
        <f t="shared" si="11"/>
        <v>12.893</v>
      </c>
      <c r="G80" s="6">
        <f t="shared" si="12"/>
        <v>105.239</v>
      </c>
      <c r="H80" s="6">
        <f t="shared" si="13"/>
        <v>42.977</v>
      </c>
      <c r="I80" s="7">
        <f t="shared" si="14"/>
        <v>497.87999999999994</v>
      </c>
    </row>
    <row r="81" spans="2:9" ht="12">
      <c r="B81" s="36">
        <f t="shared" si="15"/>
        <v>14.75</v>
      </c>
      <c r="C81" s="6">
        <f t="shared" si="10"/>
        <v>279.013</v>
      </c>
      <c r="D81" s="6">
        <f t="shared" si="8"/>
        <v>71.873</v>
      </c>
      <c r="E81" s="6">
        <f t="shared" si="9"/>
        <v>10.281</v>
      </c>
      <c r="F81" s="6">
        <f t="shared" si="11"/>
        <v>12.719000000000001</v>
      </c>
      <c r="G81" s="6">
        <f t="shared" si="12"/>
        <v>105.606</v>
      </c>
      <c r="H81" s="6">
        <f t="shared" si="13"/>
        <v>43.127</v>
      </c>
      <c r="I81" s="7">
        <f t="shared" si="14"/>
        <v>499.61899999999997</v>
      </c>
    </row>
    <row r="82" spans="2:9" ht="12">
      <c r="B82" s="36">
        <f t="shared" si="15"/>
        <v>15</v>
      </c>
      <c r="C82" s="6">
        <f t="shared" si="10"/>
        <v>279.855</v>
      </c>
      <c r="D82" s="6">
        <f t="shared" si="8"/>
        <v>72.09</v>
      </c>
      <c r="E82" s="6">
        <f t="shared" si="9"/>
        <v>10.455</v>
      </c>
      <c r="F82" s="6">
        <f t="shared" si="11"/>
        <v>12.545000000000002</v>
      </c>
      <c r="G82" s="6">
        <f t="shared" si="12"/>
        <v>105.925</v>
      </c>
      <c r="H82" s="6">
        <f t="shared" si="13"/>
        <v>43.258</v>
      </c>
      <c r="I82" s="7">
        <f t="shared" si="14"/>
        <v>501.128</v>
      </c>
    </row>
    <row r="83" spans="2:9" ht="12">
      <c r="B83" s="36">
        <f t="shared" si="15"/>
        <v>15.25</v>
      </c>
      <c r="C83" s="6">
        <f t="shared" si="10"/>
        <v>280.568</v>
      </c>
      <c r="D83" s="6">
        <f t="shared" si="8"/>
        <v>72.274</v>
      </c>
      <c r="E83" s="6">
        <f t="shared" si="9"/>
        <v>10.629</v>
      </c>
      <c r="F83" s="6">
        <f t="shared" si="11"/>
        <v>12.371000000000002</v>
      </c>
      <c r="G83" s="6">
        <f t="shared" si="12"/>
        <v>106.195</v>
      </c>
      <c r="H83" s="6">
        <f t="shared" si="13"/>
        <v>43.368</v>
      </c>
      <c r="I83" s="7">
        <f t="shared" si="14"/>
        <v>502.405</v>
      </c>
    </row>
    <row r="84" spans="2:9" ht="12">
      <c r="B84" s="36">
        <f t="shared" si="15"/>
        <v>15.5</v>
      </c>
      <c r="C84" s="6">
        <f t="shared" si="10"/>
        <v>281.151</v>
      </c>
      <c r="D84" s="6">
        <f t="shared" si="8"/>
        <v>72.424</v>
      </c>
      <c r="E84" s="6">
        <f t="shared" si="9"/>
        <v>10.804</v>
      </c>
      <c r="F84" s="6">
        <f t="shared" si="11"/>
        <v>12.195999999999998</v>
      </c>
      <c r="G84" s="6">
        <f t="shared" si="12"/>
        <v>106.415</v>
      </c>
      <c r="H84" s="6">
        <f t="shared" si="13"/>
        <v>43.458</v>
      </c>
      <c r="I84" s="7">
        <f t="shared" si="14"/>
        <v>503.448</v>
      </c>
    </row>
    <row r="85" spans="2:9" ht="12">
      <c r="B85" s="36">
        <f t="shared" si="15"/>
        <v>15.75</v>
      </c>
      <c r="C85" s="6">
        <f t="shared" si="10"/>
        <v>281.604</v>
      </c>
      <c r="D85" s="6">
        <f t="shared" si="8"/>
        <v>72.541</v>
      </c>
      <c r="E85" s="6">
        <f t="shared" si="9"/>
        <v>10.978</v>
      </c>
      <c r="F85" s="6">
        <f t="shared" si="11"/>
        <v>12.021999999999998</v>
      </c>
      <c r="G85" s="6">
        <f t="shared" si="12"/>
        <v>106.587</v>
      </c>
      <c r="H85" s="6">
        <f t="shared" si="13"/>
        <v>43.528</v>
      </c>
      <c r="I85" s="7">
        <f t="shared" si="14"/>
        <v>504.26</v>
      </c>
    </row>
    <row r="86" spans="2:9" ht="12">
      <c r="B86" s="36">
        <f t="shared" si="15"/>
        <v>16</v>
      </c>
      <c r="C86" s="6">
        <f>ROUND($F$15*$E$2^2/2*(B86/$E$2*(1-B86/$E$2)),3)</f>
        <v>281.928</v>
      </c>
      <c r="D86" s="6">
        <f t="shared" si="8"/>
        <v>72.624</v>
      </c>
      <c r="E86" s="6">
        <f t="shared" si="9"/>
        <v>11.152</v>
      </c>
      <c r="F86" s="6">
        <f t="shared" si="11"/>
        <v>11.847999999999999</v>
      </c>
      <c r="G86" s="6">
        <f>ROUND($F$17*$E$4/2*($E$3+2*F86)*B86-$F$17/2*(B86-E86)^2,3)</f>
        <v>106.709</v>
      </c>
      <c r="H86" s="6">
        <f t="shared" si="13"/>
        <v>43.578</v>
      </c>
      <c r="I86" s="7">
        <f t="shared" si="14"/>
        <v>504.83899999999994</v>
      </c>
    </row>
    <row r="87" spans="2:9" ht="12">
      <c r="B87" s="36">
        <f t="shared" si="15"/>
        <v>16.25</v>
      </c>
      <c r="C87" s="6">
        <f>ROUND($F$15*$E$2^2/2*(B87/$E$2*(1-B87/$E$2)),3)</f>
        <v>282.122</v>
      </c>
      <c r="D87" s="6">
        <f t="shared" si="8"/>
        <v>72.674</v>
      </c>
      <c r="E87" s="6">
        <f t="shared" si="9"/>
        <v>11.326</v>
      </c>
      <c r="F87" s="6">
        <f t="shared" si="11"/>
        <v>11.674</v>
      </c>
      <c r="G87" s="6">
        <f>ROUND($F$17*$E$4/2*($E$3+2*F87)*B87-$F$17/2*(B87-E87)^2,3)</f>
        <v>106.783</v>
      </c>
      <c r="H87" s="6">
        <f t="shared" si="13"/>
        <v>43.608</v>
      </c>
      <c r="I87" s="7">
        <f t="shared" si="14"/>
        <v>505.18700000000007</v>
      </c>
    </row>
    <row r="88" spans="2:9" ht="12">
      <c r="B88" s="41">
        <f t="shared" si="15"/>
        <v>16.5</v>
      </c>
      <c r="C88" s="37">
        <f>ROUND($F$15*$E$2^2/2*(B88/$E$2*(1-B88/$E$2)),3)</f>
        <v>282.187</v>
      </c>
      <c r="D88" s="37">
        <f t="shared" si="8"/>
        <v>72.691</v>
      </c>
      <c r="E88" s="37">
        <f t="shared" si="9"/>
        <v>11.501</v>
      </c>
      <c r="F88" s="37">
        <f t="shared" si="11"/>
        <v>11.499000000000002</v>
      </c>
      <c r="G88" s="37">
        <f>ROUND($F$17*$E$4/2*($E$3+2*F88)*B88-$F$17/2*(B88-E88)^2,3)</f>
        <v>106.807</v>
      </c>
      <c r="H88" s="37">
        <f t="shared" si="13"/>
        <v>43.618</v>
      </c>
      <c r="I88" s="38">
        <f t="shared" si="14"/>
        <v>505.30300000000005</v>
      </c>
    </row>
    <row r="89" spans="2:9" s="10" customFormat="1" ht="12">
      <c r="B89" s="45"/>
      <c r="C89" s="46"/>
      <c r="D89" s="46"/>
      <c r="E89" s="46"/>
      <c r="F89" s="46"/>
      <c r="G89" s="46"/>
      <c r="H89" s="46"/>
      <c r="I89" s="47"/>
    </row>
    <row r="90" spans="1:6" s="10" customFormat="1" ht="12">
      <c r="A90" s="2" t="s">
        <v>1027</v>
      </c>
      <c r="B90" s="2"/>
      <c r="C90" s="46"/>
      <c r="D90" s="46"/>
      <c r="E90" s="46"/>
      <c r="F90" s="46"/>
    </row>
    <row r="91" spans="2:9" s="10" customFormat="1" ht="12">
      <c r="B91" s="45"/>
      <c r="C91" s="46"/>
      <c r="D91" s="46"/>
      <c r="E91" s="46"/>
      <c r="F91" s="46"/>
      <c r="G91" s="2" t="s">
        <v>1028</v>
      </c>
      <c r="H91" s="2"/>
      <c r="I91" s="2"/>
    </row>
    <row r="92" spans="2:9" s="10" customFormat="1" ht="12">
      <c r="B92" s="45"/>
      <c r="C92" s="46"/>
      <c r="D92" s="46"/>
      <c r="E92" s="46"/>
      <c r="F92" s="46"/>
      <c r="G92" s="2" t="s">
        <v>1497</v>
      </c>
      <c r="H92" s="2" t="s">
        <v>1498</v>
      </c>
      <c r="I92" s="2" t="s">
        <v>1499</v>
      </c>
    </row>
    <row r="93" spans="2:9" s="10" customFormat="1" ht="12">
      <c r="B93" s="45"/>
      <c r="C93" s="46"/>
      <c r="D93" s="46"/>
      <c r="E93" s="46"/>
      <c r="F93" s="46"/>
      <c r="G93" s="2">
        <v>0</v>
      </c>
      <c r="H93" s="2">
        <f>G94</f>
        <v>4.125</v>
      </c>
      <c r="I93" s="2">
        <f>H94</f>
        <v>8.25</v>
      </c>
    </row>
    <row r="94" spans="2:9" s="10" customFormat="1" ht="12">
      <c r="B94" s="45"/>
      <c r="C94" s="46"/>
      <c r="D94" s="46"/>
      <c r="E94" s="46"/>
      <c r="F94" s="46"/>
      <c r="G94" s="2">
        <f>'主桁'!B457</f>
        <v>4.125</v>
      </c>
      <c r="H94" s="2">
        <f>'主桁'!B426</f>
        <v>8.25</v>
      </c>
      <c r="I94" s="2">
        <f>'主桁'!B395</f>
        <v>16.5</v>
      </c>
    </row>
    <row r="95" spans="2:9" s="10" customFormat="1" ht="12">
      <c r="B95" s="45"/>
      <c r="C95" s="46"/>
      <c r="G95" s="2">
        <f>'主桁'!C485</f>
        <v>419.902</v>
      </c>
      <c r="H95" s="2">
        <f>'主桁'!C454</f>
        <v>608.44</v>
      </c>
      <c r="I95" s="2">
        <f>'主桁'!C423</f>
        <v>674.996</v>
      </c>
    </row>
    <row r="96" spans="7:9" ht="12">
      <c r="G96" s="2">
        <f>G95</f>
        <v>419.902</v>
      </c>
      <c r="H96" s="2">
        <f>H95</f>
        <v>608.44</v>
      </c>
      <c r="I96" s="2">
        <f>I95</f>
        <v>674.996</v>
      </c>
    </row>
    <row r="97" ht="12">
      <c r="I97" s="2" t="s">
        <v>1029</v>
      </c>
    </row>
    <row r="98" spans="1:9" ht="12">
      <c r="A98" s="2">
        <v>3</v>
      </c>
      <c r="B98" s="46">
        <f>G94</f>
        <v>4.125</v>
      </c>
      <c r="C98" s="46">
        <f>ROUND($F$101*$E$2^2/2*(B98/$E$2*(1-B98/$E$2)),3)</f>
        <v>145.194</v>
      </c>
      <c r="D98" s="46">
        <f>ROUND($F$102*$E$2^2/2*($B98/$E$2*(1-$B98/$E$2)),3)</f>
        <v>47.942</v>
      </c>
      <c r="E98" s="46">
        <f>ROUND(B98*(1-$E$4),3)</f>
        <v>2.875</v>
      </c>
      <c r="F98" s="46">
        <f>$E$2-E98-$E$3</f>
        <v>20.125</v>
      </c>
      <c r="G98" s="46">
        <f>ROUND($F$103*$E$4/2*($E$3+2*F98)*B98-$F$103/2*(B98-E98)^2,3)</f>
        <v>70.43</v>
      </c>
      <c r="H98" s="46">
        <f>ROUND((G98+D98)*$F$18,3)</f>
        <v>28.764</v>
      </c>
      <c r="I98" s="47">
        <f>C98+G98+D98+H98</f>
        <v>292.33</v>
      </c>
    </row>
    <row r="99" spans="1:9" ht="12">
      <c r="A99" s="2">
        <v>2</v>
      </c>
      <c r="B99" s="46">
        <f>H94</f>
        <v>8.25</v>
      </c>
      <c r="C99" s="46">
        <f>ROUND($F$101*$E$2^2/2*(B99/$E$2*(1-B99/$E$2)),3)</f>
        <v>248.905</v>
      </c>
      <c r="D99" s="46">
        <f>ROUND($F$102*$E$2^2/2*($B99/$E$2*(1-$B99/$E$2)),3)</f>
        <v>82.185</v>
      </c>
      <c r="E99" s="46">
        <f>ROUND(B99*(1-$E$4),3)</f>
        <v>5.75</v>
      </c>
      <c r="F99" s="46">
        <f>$E$2-E99-$E$3</f>
        <v>17.25</v>
      </c>
      <c r="G99" s="46">
        <f>ROUND($F$103*$E$4/2*($E$3+2*F99)*B99-$F$103/2*(B99-E99)^2,3)</f>
        <v>120.737</v>
      </c>
      <c r="H99" s="46">
        <f>ROUND((G99+D99)*$F$18,3)</f>
        <v>49.31</v>
      </c>
      <c r="I99" s="47">
        <f>C99+G99+D99+H99</f>
        <v>501.137</v>
      </c>
    </row>
    <row r="100" spans="1:9" ht="12">
      <c r="A100" s="2">
        <v>1</v>
      </c>
      <c r="B100" s="46">
        <f>I94</f>
        <v>16.5</v>
      </c>
      <c r="C100" s="46">
        <f>ROUND($F$101*$E$2^2/2*(B100/$E$2*(1-B100/$E$2)),3)</f>
        <v>331.873</v>
      </c>
      <c r="D100" s="46">
        <f>ROUND($F$102*$E$2^2/2*($B100/$E$2*(1-$B100/$E$2)),3)</f>
        <v>109.581</v>
      </c>
      <c r="E100" s="46">
        <f>ROUND(B100*(1-$E$4),3)</f>
        <v>11.501</v>
      </c>
      <c r="F100" s="46">
        <f>$E$2-E100-$E$3</f>
        <v>11.499000000000002</v>
      </c>
      <c r="G100" s="46">
        <f>ROUND($F$103*$E$4/2*($E$3+2*F100)*B100-$F$103/2*(B100-E100)^2,3)</f>
        <v>160.981</v>
      </c>
      <c r="H100" s="46">
        <f>ROUND((G100+D100)*$F$18,3)</f>
        <v>65.747</v>
      </c>
      <c r="I100" s="47">
        <f>C100+G100+D100+H100</f>
        <v>668.1819999999999</v>
      </c>
    </row>
    <row r="101" spans="2:32" ht="12">
      <c r="B101" s="2" t="s">
        <v>1018</v>
      </c>
      <c r="D101" s="4" t="s">
        <v>1030</v>
      </c>
      <c r="E101" s="4" t="s">
        <v>336</v>
      </c>
      <c r="F101" s="2">
        <f>'主桁'!B72</f>
        <v>2.4379999999999997</v>
      </c>
      <c r="G101" s="2" t="s">
        <v>102</v>
      </c>
      <c r="H101" s="2" t="s">
        <v>1020</v>
      </c>
      <c r="X101" s="22"/>
      <c r="Y101" s="22"/>
      <c r="Z101" s="22"/>
      <c r="AA101" s="22"/>
      <c r="AB101" s="22"/>
      <c r="AC101" s="22"/>
      <c r="AD101" s="22"/>
      <c r="AE101" s="22"/>
      <c r="AF101" s="22"/>
    </row>
    <row r="102" spans="2:32" ht="12">
      <c r="B102" s="2" t="s">
        <v>1021</v>
      </c>
      <c r="E102" s="4" t="s">
        <v>342</v>
      </c>
      <c r="F102" s="2">
        <f>'主桁'!H89</f>
        <v>0.805</v>
      </c>
      <c r="G102" s="2" t="s">
        <v>109</v>
      </c>
      <c r="H102" s="2" t="s">
        <v>1022</v>
      </c>
      <c r="X102" s="22"/>
      <c r="Y102" s="22"/>
      <c r="Z102" s="22"/>
      <c r="AA102" s="22"/>
      <c r="AB102" s="22"/>
      <c r="AC102" s="22"/>
      <c r="AD102" s="22"/>
      <c r="AE102" s="22"/>
      <c r="AF102" s="22"/>
    </row>
    <row r="103" spans="2:32" ht="12">
      <c r="B103" s="2" t="s">
        <v>1023</v>
      </c>
      <c r="E103" s="4" t="s">
        <v>349</v>
      </c>
      <c r="F103" s="2">
        <f>'主桁'!H85</f>
        <v>2.3</v>
      </c>
      <c r="G103" s="2" t="s">
        <v>109</v>
      </c>
      <c r="H103" s="2" t="s">
        <v>1024</v>
      </c>
      <c r="X103" s="48"/>
      <c r="Y103" s="48"/>
      <c r="Z103" s="22"/>
      <c r="AA103" s="22"/>
      <c r="AB103" s="22"/>
      <c r="AC103" s="22"/>
      <c r="AD103" s="22"/>
      <c r="AE103" s="22"/>
      <c r="AF103" s="22"/>
    </row>
    <row r="104" spans="2:32" ht="12">
      <c r="B104" s="2" t="s">
        <v>1418</v>
      </c>
      <c r="E104" s="4" t="s">
        <v>1419</v>
      </c>
      <c r="F104" s="2">
        <f>F18</f>
        <v>0.243</v>
      </c>
      <c r="H104" s="2" t="s">
        <v>1025</v>
      </c>
      <c r="X104" s="49"/>
      <c r="Y104" s="49"/>
      <c r="Z104" s="22"/>
      <c r="AA104" s="22"/>
      <c r="AB104" s="22"/>
      <c r="AC104" s="22"/>
      <c r="AD104" s="22"/>
      <c r="AE104" s="22"/>
      <c r="AF104" s="22"/>
    </row>
    <row r="105" spans="24:32" ht="12">
      <c r="X105" s="49"/>
      <c r="Y105" s="49"/>
      <c r="Z105" s="22"/>
      <c r="AA105" s="22"/>
      <c r="AB105" s="22"/>
      <c r="AC105" s="22"/>
      <c r="AD105" s="22"/>
      <c r="AE105" s="22"/>
      <c r="AF105" s="22"/>
    </row>
    <row r="106" spans="2:32" ht="12">
      <c r="B106" s="5" t="s">
        <v>1507</v>
      </c>
      <c r="C106" s="5" t="s">
        <v>1508</v>
      </c>
      <c r="D106" s="5" t="s">
        <v>1509</v>
      </c>
      <c r="E106" s="5" t="s">
        <v>1510</v>
      </c>
      <c r="F106" s="5" t="s">
        <v>1511</v>
      </c>
      <c r="G106" s="5" t="s">
        <v>1512</v>
      </c>
      <c r="H106" s="5" t="s">
        <v>1513</v>
      </c>
      <c r="I106" s="2" t="s">
        <v>1423</v>
      </c>
      <c r="X106" s="49"/>
      <c r="Y106" s="49"/>
      <c r="Z106" s="22"/>
      <c r="AA106" s="22"/>
      <c r="AB106" s="22"/>
      <c r="AC106" s="22"/>
      <c r="AD106" s="22"/>
      <c r="AE106" s="22"/>
      <c r="AF106" s="22"/>
    </row>
    <row r="107" spans="2:32" ht="12">
      <c r="B107" s="2">
        <v>0</v>
      </c>
      <c r="C107" s="6">
        <f aca="true" t="shared" si="16" ref="C107:C138">ROUND($F$101*$E$2^2/2*(B107/$E$2*(1-B107/$E$2)),3)</f>
        <v>0</v>
      </c>
      <c r="D107" s="6">
        <f aca="true" t="shared" si="17" ref="D107:D138">ROUND($F$102*$E$2^2/2*($B107/$E$2*(1-$B107/$E$2)),3)</f>
        <v>0</v>
      </c>
      <c r="E107" s="6">
        <f aca="true" t="shared" si="18" ref="E107:E138">ROUND(B107*(1-$E$4),3)</f>
        <v>0</v>
      </c>
      <c r="F107" s="6">
        <f>$E$2-E107-$E$3</f>
        <v>23</v>
      </c>
      <c r="G107" s="6">
        <f aca="true" t="shared" si="19" ref="G107:G138">ROUND($F$103*$E$4/2*($E$3+2*F107)*B107-$F$103/2*(B107-E107)^2,3)</f>
        <v>0</v>
      </c>
      <c r="H107" s="6">
        <f>ROUND((G107+D107)*$F$18,3)</f>
        <v>0</v>
      </c>
      <c r="I107" s="7">
        <f>C107+G107+D107+H107</f>
        <v>0</v>
      </c>
      <c r="X107" s="49"/>
      <c r="Y107" s="49"/>
      <c r="Z107" s="22"/>
      <c r="AA107" s="22"/>
      <c r="AB107" s="22"/>
      <c r="AC107" s="22"/>
      <c r="AD107" s="22"/>
      <c r="AE107" s="22"/>
      <c r="AF107" s="22"/>
    </row>
    <row r="108" spans="2:32" ht="12">
      <c r="B108" s="36">
        <f aca="true" t="shared" si="20" ref="B108:B140">B107+0.25</f>
        <v>0.25</v>
      </c>
      <c r="C108" s="6">
        <f t="shared" si="16"/>
        <v>9.981</v>
      </c>
      <c r="D108" s="6">
        <f t="shared" si="17"/>
        <v>3.295</v>
      </c>
      <c r="E108" s="6">
        <f t="shared" si="18"/>
        <v>0.174</v>
      </c>
      <c r="F108" s="6">
        <f>$E$2-E108-$E$3</f>
        <v>22.826</v>
      </c>
      <c r="G108" s="6">
        <f t="shared" si="19"/>
        <v>4.841</v>
      </c>
      <c r="H108" s="6">
        <f aca="true" t="shared" si="21" ref="H108:H139">ROUND((G108+D108)*$F$18,3)</f>
        <v>1.977</v>
      </c>
      <c r="I108" s="7">
        <f aca="true" t="shared" si="22" ref="I108:I139">C108+G108+D108+H108</f>
        <v>20.093999999999998</v>
      </c>
      <c r="X108" s="49"/>
      <c r="Y108" s="49"/>
      <c r="Z108" s="22"/>
      <c r="AA108" s="22"/>
      <c r="AB108" s="22"/>
      <c r="AC108" s="22"/>
      <c r="AD108" s="22"/>
      <c r="AE108" s="22"/>
      <c r="AF108" s="22"/>
    </row>
    <row r="109" spans="2:32" ht="12">
      <c r="B109" s="36">
        <f t="shared" si="20"/>
        <v>0.5</v>
      </c>
      <c r="C109" s="6">
        <f t="shared" si="16"/>
        <v>19.809</v>
      </c>
      <c r="D109" s="6">
        <f t="shared" si="17"/>
        <v>6.541</v>
      </c>
      <c r="E109" s="6">
        <f t="shared" si="18"/>
        <v>0.349</v>
      </c>
      <c r="F109" s="6">
        <f>$E$2-E109-$E$3</f>
        <v>22.651000000000003</v>
      </c>
      <c r="G109" s="6">
        <f t="shared" si="19"/>
        <v>9.609</v>
      </c>
      <c r="H109" s="6">
        <f t="shared" si="21"/>
        <v>3.924</v>
      </c>
      <c r="I109" s="7">
        <f t="shared" si="22"/>
        <v>39.883</v>
      </c>
      <c r="X109" s="22"/>
      <c r="Y109" s="22"/>
      <c r="Z109" s="22"/>
      <c r="AA109" s="22"/>
      <c r="AB109" s="22"/>
      <c r="AC109" s="22"/>
      <c r="AD109" s="22"/>
      <c r="AE109" s="22"/>
      <c r="AF109" s="22"/>
    </row>
    <row r="110" spans="2:32" ht="12">
      <c r="B110" s="36">
        <f t="shared" si="20"/>
        <v>0.75</v>
      </c>
      <c r="C110" s="6">
        <f t="shared" si="16"/>
        <v>29.485</v>
      </c>
      <c r="D110" s="6">
        <f t="shared" si="17"/>
        <v>9.735</v>
      </c>
      <c r="E110" s="6">
        <f t="shared" si="18"/>
        <v>0.523</v>
      </c>
      <c r="F110" s="6">
        <f aca="true" t="shared" si="23" ref="F110:F139">$E$2-E110-$E$3</f>
        <v>22.476999999999997</v>
      </c>
      <c r="G110" s="6">
        <f t="shared" si="19"/>
        <v>14.302</v>
      </c>
      <c r="H110" s="6">
        <f t="shared" si="21"/>
        <v>5.841</v>
      </c>
      <c r="I110" s="7">
        <f t="shared" si="22"/>
        <v>59.363</v>
      </c>
      <c r="X110" s="22"/>
      <c r="Y110" s="22"/>
      <c r="Z110" s="22"/>
      <c r="AA110" s="22"/>
      <c r="AB110" s="22"/>
      <c r="AC110" s="22"/>
      <c r="AD110" s="22"/>
      <c r="AE110" s="22"/>
      <c r="AF110" s="22"/>
    </row>
    <row r="111" spans="2:32" ht="12">
      <c r="B111" s="36">
        <f t="shared" si="20"/>
        <v>1</v>
      </c>
      <c r="C111" s="6">
        <f t="shared" si="16"/>
        <v>39.008</v>
      </c>
      <c r="D111" s="6">
        <f t="shared" si="17"/>
        <v>12.88</v>
      </c>
      <c r="E111" s="6">
        <f t="shared" si="18"/>
        <v>0.697</v>
      </c>
      <c r="F111" s="6">
        <f t="shared" si="23"/>
        <v>22.302999999999997</v>
      </c>
      <c r="G111" s="6">
        <f t="shared" si="19"/>
        <v>18.922</v>
      </c>
      <c r="H111" s="6">
        <f t="shared" si="21"/>
        <v>7.728</v>
      </c>
      <c r="I111" s="7">
        <f t="shared" si="22"/>
        <v>78.538</v>
      </c>
      <c r="X111" s="50"/>
      <c r="Y111" s="50"/>
      <c r="Z111" s="50"/>
      <c r="AA111" s="50"/>
      <c r="AB111" s="50"/>
      <c r="AC111" s="50"/>
      <c r="AD111" s="22"/>
      <c r="AE111" s="22"/>
      <c r="AF111" s="22"/>
    </row>
    <row r="112" spans="2:32" ht="12">
      <c r="B112" s="36">
        <f t="shared" si="20"/>
        <v>1.25</v>
      </c>
      <c r="C112" s="6">
        <f t="shared" si="16"/>
        <v>48.379</v>
      </c>
      <c r="D112" s="6">
        <f t="shared" si="17"/>
        <v>15.974</v>
      </c>
      <c r="E112" s="6">
        <f t="shared" si="18"/>
        <v>0.871</v>
      </c>
      <c r="F112" s="6">
        <f t="shared" si="23"/>
        <v>22.128999999999998</v>
      </c>
      <c r="G112" s="6">
        <f t="shared" si="19"/>
        <v>23.468</v>
      </c>
      <c r="H112" s="6">
        <f t="shared" si="21"/>
        <v>9.584</v>
      </c>
      <c r="I112" s="7">
        <f t="shared" si="22"/>
        <v>97.405</v>
      </c>
      <c r="X112" s="49"/>
      <c r="Y112" s="49"/>
      <c r="Z112" s="49"/>
      <c r="AA112" s="49"/>
      <c r="AB112" s="49"/>
      <c r="AC112" s="49"/>
      <c r="AD112" s="22"/>
      <c r="AE112" s="22"/>
      <c r="AF112" s="22"/>
    </row>
    <row r="113" spans="2:32" ht="12">
      <c r="B113" s="36">
        <f t="shared" si="20"/>
        <v>1.5</v>
      </c>
      <c r="C113" s="6">
        <f t="shared" si="16"/>
        <v>57.598</v>
      </c>
      <c r="D113" s="6">
        <f t="shared" si="17"/>
        <v>19.018</v>
      </c>
      <c r="E113" s="6">
        <f t="shared" si="18"/>
        <v>1.046</v>
      </c>
      <c r="F113" s="6">
        <f t="shared" si="23"/>
        <v>21.954</v>
      </c>
      <c r="G113" s="6">
        <f t="shared" si="19"/>
        <v>27.939</v>
      </c>
      <c r="H113" s="6">
        <f t="shared" si="21"/>
        <v>11.411</v>
      </c>
      <c r="I113" s="7">
        <f t="shared" si="22"/>
        <v>115.96600000000001</v>
      </c>
      <c r="X113" s="49"/>
      <c r="Y113" s="49"/>
      <c r="Z113" s="49"/>
      <c r="AA113" s="49"/>
      <c r="AB113" s="49"/>
      <c r="AC113" s="49"/>
      <c r="AD113" s="22"/>
      <c r="AE113" s="22"/>
      <c r="AF113" s="22"/>
    </row>
    <row r="114" spans="2:32" ht="12">
      <c r="B114" s="36">
        <f t="shared" si="20"/>
        <v>1.75</v>
      </c>
      <c r="C114" s="6">
        <f t="shared" si="16"/>
        <v>66.664</v>
      </c>
      <c r="D114" s="6">
        <f t="shared" si="17"/>
        <v>22.012</v>
      </c>
      <c r="E114" s="6">
        <f t="shared" si="18"/>
        <v>1.22</v>
      </c>
      <c r="F114" s="6">
        <f t="shared" si="23"/>
        <v>21.78</v>
      </c>
      <c r="G114" s="6">
        <f t="shared" si="19"/>
        <v>32.337</v>
      </c>
      <c r="H114" s="6">
        <f t="shared" si="21"/>
        <v>13.207</v>
      </c>
      <c r="I114" s="7">
        <f t="shared" si="22"/>
        <v>134.22</v>
      </c>
      <c r="X114" s="49"/>
      <c r="Y114" s="49"/>
      <c r="Z114" s="49"/>
      <c r="AA114" s="49"/>
      <c r="AB114" s="49"/>
      <c r="AC114" s="49"/>
      <c r="AD114" s="22"/>
      <c r="AE114" s="22"/>
      <c r="AF114" s="22"/>
    </row>
    <row r="115" spans="2:32" ht="12">
      <c r="B115" s="36">
        <f t="shared" si="20"/>
        <v>2</v>
      </c>
      <c r="C115" s="6">
        <f t="shared" si="16"/>
        <v>75.578</v>
      </c>
      <c r="D115" s="6">
        <f t="shared" si="17"/>
        <v>24.955</v>
      </c>
      <c r="E115" s="6">
        <f t="shared" si="18"/>
        <v>1.394</v>
      </c>
      <c r="F115" s="6">
        <f t="shared" si="23"/>
        <v>21.606</v>
      </c>
      <c r="G115" s="6">
        <f t="shared" si="19"/>
        <v>36.661</v>
      </c>
      <c r="H115" s="6">
        <f t="shared" si="21"/>
        <v>14.973</v>
      </c>
      <c r="I115" s="7">
        <f t="shared" si="22"/>
        <v>152.16700000000003</v>
      </c>
      <c r="X115" s="22"/>
      <c r="Y115" s="22"/>
      <c r="Z115" s="22"/>
      <c r="AA115" s="22"/>
      <c r="AB115" s="22"/>
      <c r="AC115" s="22"/>
      <c r="AD115" s="22"/>
      <c r="AE115" s="22"/>
      <c r="AF115" s="22"/>
    </row>
    <row r="116" spans="2:32" ht="12">
      <c r="B116" s="36">
        <f t="shared" si="20"/>
        <v>2.25</v>
      </c>
      <c r="C116" s="6">
        <f t="shared" si="16"/>
        <v>84.34</v>
      </c>
      <c r="D116" s="6">
        <f t="shared" si="17"/>
        <v>27.848</v>
      </c>
      <c r="E116" s="6">
        <f t="shared" si="18"/>
        <v>1.568</v>
      </c>
      <c r="F116" s="6">
        <f t="shared" si="23"/>
        <v>21.432</v>
      </c>
      <c r="G116" s="6">
        <f t="shared" si="19"/>
        <v>40.911</v>
      </c>
      <c r="H116" s="6">
        <f t="shared" si="21"/>
        <v>16.708</v>
      </c>
      <c r="I116" s="7">
        <f t="shared" si="22"/>
        <v>169.807</v>
      </c>
      <c r="X116" s="50"/>
      <c r="Y116" s="50"/>
      <c r="Z116" s="50"/>
      <c r="AA116" s="50"/>
      <c r="AB116" s="50"/>
      <c r="AC116" s="50"/>
      <c r="AD116" s="50"/>
      <c r="AE116" s="50"/>
      <c r="AF116" s="50"/>
    </row>
    <row r="117" spans="2:32" ht="12">
      <c r="B117" s="36">
        <f t="shared" si="20"/>
        <v>2.5</v>
      </c>
      <c r="C117" s="6">
        <f t="shared" si="16"/>
        <v>92.949</v>
      </c>
      <c r="D117" s="6">
        <f t="shared" si="17"/>
        <v>30.691</v>
      </c>
      <c r="E117" s="6">
        <f t="shared" si="18"/>
        <v>1.743</v>
      </c>
      <c r="F117" s="6">
        <f t="shared" si="23"/>
        <v>21.257</v>
      </c>
      <c r="G117" s="6">
        <f t="shared" si="19"/>
        <v>45.087</v>
      </c>
      <c r="H117" s="6">
        <f t="shared" si="21"/>
        <v>18.414</v>
      </c>
      <c r="I117" s="7">
        <f t="shared" si="22"/>
        <v>187.14100000000002</v>
      </c>
      <c r="X117" s="49"/>
      <c r="Y117" s="49"/>
      <c r="Z117" s="49"/>
      <c r="AA117" s="49"/>
      <c r="AB117" s="49"/>
      <c r="AC117" s="49"/>
      <c r="AD117" s="49"/>
      <c r="AE117" s="49"/>
      <c r="AF117" s="49"/>
    </row>
    <row r="118" spans="2:32" ht="12">
      <c r="B118" s="36">
        <f t="shared" si="20"/>
        <v>2.75</v>
      </c>
      <c r="C118" s="6">
        <f t="shared" si="16"/>
        <v>101.406</v>
      </c>
      <c r="D118" s="6">
        <f t="shared" si="17"/>
        <v>33.483</v>
      </c>
      <c r="E118" s="6">
        <f t="shared" si="18"/>
        <v>1.917</v>
      </c>
      <c r="F118" s="6">
        <f t="shared" si="23"/>
        <v>21.083</v>
      </c>
      <c r="G118" s="6">
        <f t="shared" si="19"/>
        <v>49.189</v>
      </c>
      <c r="H118" s="6">
        <f t="shared" si="21"/>
        <v>20.089</v>
      </c>
      <c r="I118" s="7">
        <f t="shared" si="22"/>
        <v>204.167</v>
      </c>
      <c r="X118" s="49"/>
      <c r="Y118" s="49"/>
      <c r="Z118" s="49"/>
      <c r="AA118" s="49"/>
      <c r="AB118" s="49"/>
      <c r="AC118" s="49"/>
      <c r="AD118" s="49"/>
      <c r="AE118" s="49"/>
      <c r="AF118" s="49"/>
    </row>
    <row r="119" spans="2:9" ht="12">
      <c r="B119" s="36">
        <f t="shared" si="20"/>
        <v>3</v>
      </c>
      <c r="C119" s="6">
        <f t="shared" si="16"/>
        <v>109.71</v>
      </c>
      <c r="D119" s="6">
        <f t="shared" si="17"/>
        <v>36.225</v>
      </c>
      <c r="E119" s="6">
        <f t="shared" si="18"/>
        <v>2.091</v>
      </c>
      <c r="F119" s="6">
        <f t="shared" si="23"/>
        <v>20.909</v>
      </c>
      <c r="G119" s="6">
        <f t="shared" si="19"/>
        <v>53.218</v>
      </c>
      <c r="H119" s="6">
        <f t="shared" si="21"/>
        <v>21.735</v>
      </c>
      <c r="I119" s="7">
        <f t="shared" si="22"/>
        <v>220.88799999999998</v>
      </c>
    </row>
    <row r="120" spans="2:9" ht="12">
      <c r="B120" s="36">
        <f t="shared" si="20"/>
        <v>3.25</v>
      </c>
      <c r="C120" s="6">
        <f t="shared" si="16"/>
        <v>117.862</v>
      </c>
      <c r="D120" s="6">
        <f t="shared" si="17"/>
        <v>38.917</v>
      </c>
      <c r="E120" s="6">
        <f t="shared" si="18"/>
        <v>2.265</v>
      </c>
      <c r="F120" s="6">
        <f t="shared" si="23"/>
        <v>20.735</v>
      </c>
      <c r="G120" s="6">
        <f t="shared" si="19"/>
        <v>57.172</v>
      </c>
      <c r="H120" s="6">
        <f t="shared" si="21"/>
        <v>23.35</v>
      </c>
      <c r="I120" s="7">
        <f t="shared" si="22"/>
        <v>237.301</v>
      </c>
    </row>
    <row r="121" spans="2:9" ht="12">
      <c r="B121" s="36">
        <f t="shared" si="20"/>
        <v>3.5</v>
      </c>
      <c r="C121" s="6">
        <f t="shared" si="16"/>
        <v>125.862</v>
      </c>
      <c r="D121" s="6">
        <f t="shared" si="17"/>
        <v>41.558</v>
      </c>
      <c r="E121" s="6">
        <f t="shared" si="18"/>
        <v>2.44</v>
      </c>
      <c r="F121" s="6">
        <f t="shared" si="23"/>
        <v>20.56</v>
      </c>
      <c r="G121" s="6">
        <f t="shared" si="19"/>
        <v>61.053</v>
      </c>
      <c r="H121" s="6">
        <f t="shared" si="21"/>
        <v>24.934</v>
      </c>
      <c r="I121" s="7">
        <f t="shared" si="22"/>
        <v>253.40699999999998</v>
      </c>
    </row>
    <row r="122" spans="2:9" ht="12">
      <c r="B122" s="36">
        <f t="shared" si="20"/>
        <v>3.75</v>
      </c>
      <c r="C122" s="6">
        <f t="shared" si="16"/>
        <v>133.709</v>
      </c>
      <c r="D122" s="6">
        <f t="shared" si="17"/>
        <v>44.149</v>
      </c>
      <c r="E122" s="6">
        <f t="shared" si="18"/>
        <v>2.614</v>
      </c>
      <c r="F122" s="6">
        <f t="shared" si="23"/>
        <v>20.386</v>
      </c>
      <c r="G122" s="6">
        <f t="shared" si="19"/>
        <v>64.859</v>
      </c>
      <c r="H122" s="6">
        <f t="shared" si="21"/>
        <v>26.489</v>
      </c>
      <c r="I122" s="7">
        <f t="shared" si="22"/>
        <v>269.20599999999996</v>
      </c>
    </row>
    <row r="123" spans="2:9" ht="12">
      <c r="B123" s="36">
        <f t="shared" si="20"/>
        <v>4</v>
      </c>
      <c r="C123" s="6">
        <f t="shared" si="16"/>
        <v>141.404</v>
      </c>
      <c r="D123" s="6">
        <f t="shared" si="17"/>
        <v>46.69</v>
      </c>
      <c r="E123" s="6">
        <f t="shared" si="18"/>
        <v>2.788</v>
      </c>
      <c r="F123" s="6">
        <f t="shared" si="23"/>
        <v>20.212</v>
      </c>
      <c r="G123" s="6">
        <f t="shared" si="19"/>
        <v>68.592</v>
      </c>
      <c r="H123" s="6">
        <f t="shared" si="21"/>
        <v>28.014</v>
      </c>
      <c r="I123" s="7">
        <f t="shared" si="22"/>
        <v>284.7</v>
      </c>
    </row>
    <row r="124" spans="2:9" ht="12">
      <c r="B124" s="37">
        <v>4.125</v>
      </c>
      <c r="C124" s="37">
        <f t="shared" si="16"/>
        <v>145.194</v>
      </c>
      <c r="D124" s="37">
        <f t="shared" si="17"/>
        <v>47.942</v>
      </c>
      <c r="E124" s="37">
        <f t="shared" si="18"/>
        <v>2.875</v>
      </c>
      <c r="F124" s="37">
        <f t="shared" si="23"/>
        <v>20.125</v>
      </c>
      <c r="G124" s="37">
        <f t="shared" si="19"/>
        <v>70.43</v>
      </c>
      <c r="H124" s="37">
        <f>ROUND((G124+D124)*$F$18,3)</f>
        <v>28.764</v>
      </c>
      <c r="I124" s="38">
        <f>C124+G124+D124+H124</f>
        <v>292.33</v>
      </c>
    </row>
    <row r="125" spans="2:9" ht="12">
      <c r="B125" s="36">
        <f>B123+0.25</f>
        <v>4.25</v>
      </c>
      <c r="C125" s="6">
        <f t="shared" si="16"/>
        <v>148.947</v>
      </c>
      <c r="D125" s="6">
        <f t="shared" si="17"/>
        <v>49.18</v>
      </c>
      <c r="E125" s="6">
        <f t="shared" si="18"/>
        <v>2.962</v>
      </c>
      <c r="F125" s="6">
        <f t="shared" si="23"/>
        <v>20.038</v>
      </c>
      <c r="G125" s="6">
        <f t="shared" si="19"/>
        <v>72.25</v>
      </c>
      <c r="H125" s="6">
        <f t="shared" si="21"/>
        <v>29.507</v>
      </c>
      <c r="I125" s="7">
        <f t="shared" si="22"/>
        <v>299.884</v>
      </c>
    </row>
    <row r="126" spans="2:9" ht="12">
      <c r="B126" s="36">
        <f t="shared" si="20"/>
        <v>4.5</v>
      </c>
      <c r="C126" s="6">
        <f t="shared" si="16"/>
        <v>156.337</v>
      </c>
      <c r="D126" s="6">
        <f t="shared" si="17"/>
        <v>51.621</v>
      </c>
      <c r="E126" s="6">
        <f t="shared" si="18"/>
        <v>3.137</v>
      </c>
      <c r="F126" s="6">
        <f t="shared" si="23"/>
        <v>19.863</v>
      </c>
      <c r="G126" s="6">
        <f t="shared" si="19"/>
        <v>75.835</v>
      </c>
      <c r="H126" s="6">
        <f t="shared" si="21"/>
        <v>30.972</v>
      </c>
      <c r="I126" s="7">
        <f t="shared" si="22"/>
        <v>314.76499999999993</v>
      </c>
    </row>
    <row r="127" spans="2:9" ht="12">
      <c r="B127" s="36">
        <f t="shared" si="20"/>
        <v>4.75</v>
      </c>
      <c r="C127" s="6">
        <f t="shared" si="16"/>
        <v>163.575</v>
      </c>
      <c r="D127" s="6">
        <f t="shared" si="17"/>
        <v>54.01</v>
      </c>
      <c r="E127" s="6">
        <f t="shared" si="18"/>
        <v>3.311</v>
      </c>
      <c r="F127" s="6">
        <f t="shared" si="23"/>
        <v>19.689</v>
      </c>
      <c r="G127" s="6">
        <f t="shared" si="19"/>
        <v>79.346</v>
      </c>
      <c r="H127" s="6">
        <f t="shared" si="21"/>
        <v>32.406</v>
      </c>
      <c r="I127" s="7">
        <f t="shared" si="22"/>
        <v>329.337</v>
      </c>
    </row>
    <row r="128" spans="2:9" ht="12">
      <c r="B128" s="36">
        <f t="shared" si="20"/>
        <v>5</v>
      </c>
      <c r="C128" s="6">
        <f t="shared" si="16"/>
        <v>170.66</v>
      </c>
      <c r="D128" s="6">
        <f t="shared" si="17"/>
        <v>56.35</v>
      </c>
      <c r="E128" s="6">
        <f t="shared" si="18"/>
        <v>3.485</v>
      </c>
      <c r="F128" s="6">
        <f t="shared" si="23"/>
        <v>19.515</v>
      </c>
      <c r="G128" s="6">
        <f t="shared" si="19"/>
        <v>82.783</v>
      </c>
      <c r="H128" s="6">
        <f t="shared" si="21"/>
        <v>33.809</v>
      </c>
      <c r="I128" s="7">
        <f t="shared" si="22"/>
        <v>343.602</v>
      </c>
    </row>
    <row r="129" spans="2:9" ht="12">
      <c r="B129" s="36">
        <f t="shared" si="20"/>
        <v>5.25</v>
      </c>
      <c r="C129" s="6">
        <f t="shared" si="16"/>
        <v>177.593</v>
      </c>
      <c r="D129" s="6">
        <f t="shared" si="17"/>
        <v>58.639</v>
      </c>
      <c r="E129" s="6">
        <f t="shared" si="18"/>
        <v>3.659</v>
      </c>
      <c r="F129" s="6">
        <f t="shared" si="23"/>
        <v>19.341</v>
      </c>
      <c r="G129" s="6">
        <f t="shared" si="19"/>
        <v>86.146</v>
      </c>
      <c r="H129" s="6">
        <f t="shared" si="21"/>
        <v>35.183</v>
      </c>
      <c r="I129" s="7">
        <f t="shared" si="22"/>
        <v>357.561</v>
      </c>
    </row>
    <row r="130" spans="2:9" ht="12">
      <c r="B130" s="16">
        <f t="shared" si="20"/>
        <v>5.5</v>
      </c>
      <c r="C130" s="39">
        <f t="shared" si="16"/>
        <v>184.374</v>
      </c>
      <c r="D130" s="39">
        <f t="shared" si="17"/>
        <v>60.878</v>
      </c>
      <c r="E130" s="39">
        <f t="shared" si="18"/>
        <v>3.834</v>
      </c>
      <c r="F130" s="39">
        <f t="shared" si="23"/>
        <v>19.166</v>
      </c>
      <c r="G130" s="39">
        <f t="shared" si="19"/>
        <v>89.435</v>
      </c>
      <c r="H130" s="39">
        <f t="shared" si="21"/>
        <v>36.526</v>
      </c>
      <c r="I130" s="40">
        <f t="shared" si="22"/>
        <v>371.21299999999997</v>
      </c>
    </row>
    <row r="131" spans="2:9" ht="12">
      <c r="B131" s="36">
        <f t="shared" si="20"/>
        <v>5.75</v>
      </c>
      <c r="C131" s="6">
        <f t="shared" si="16"/>
        <v>191.002</v>
      </c>
      <c r="D131" s="6">
        <f t="shared" si="17"/>
        <v>63.067</v>
      </c>
      <c r="E131" s="6">
        <f t="shared" si="18"/>
        <v>4.008</v>
      </c>
      <c r="F131" s="6">
        <f t="shared" si="23"/>
        <v>18.992</v>
      </c>
      <c r="G131" s="6">
        <f t="shared" si="19"/>
        <v>92.65</v>
      </c>
      <c r="H131" s="6">
        <f t="shared" si="21"/>
        <v>37.839</v>
      </c>
      <c r="I131" s="7">
        <f t="shared" si="22"/>
        <v>384.55800000000005</v>
      </c>
    </row>
    <row r="132" spans="2:9" ht="12">
      <c r="B132" s="36">
        <f t="shared" si="20"/>
        <v>6</v>
      </c>
      <c r="C132" s="6">
        <f t="shared" si="16"/>
        <v>197.478</v>
      </c>
      <c r="D132" s="6">
        <f t="shared" si="17"/>
        <v>65.205</v>
      </c>
      <c r="E132" s="6">
        <f t="shared" si="18"/>
        <v>4.182</v>
      </c>
      <c r="F132" s="6">
        <f t="shared" si="23"/>
        <v>18.817999999999998</v>
      </c>
      <c r="G132" s="6">
        <f t="shared" si="19"/>
        <v>95.792</v>
      </c>
      <c r="H132" s="6">
        <f t="shared" si="21"/>
        <v>39.122</v>
      </c>
      <c r="I132" s="7">
        <f t="shared" si="22"/>
        <v>397.597</v>
      </c>
    </row>
    <row r="133" spans="2:9" ht="12">
      <c r="B133" s="36">
        <f t="shared" si="20"/>
        <v>6.25</v>
      </c>
      <c r="C133" s="6">
        <f t="shared" si="16"/>
        <v>203.802</v>
      </c>
      <c r="D133" s="6">
        <f t="shared" si="17"/>
        <v>67.293</v>
      </c>
      <c r="E133" s="6">
        <f t="shared" si="18"/>
        <v>4.356</v>
      </c>
      <c r="F133" s="6">
        <f t="shared" si="23"/>
        <v>18.644</v>
      </c>
      <c r="G133" s="6">
        <f t="shared" si="19"/>
        <v>98.859</v>
      </c>
      <c r="H133" s="6">
        <f t="shared" si="21"/>
        <v>40.375</v>
      </c>
      <c r="I133" s="7">
        <f t="shared" si="22"/>
        <v>410.329</v>
      </c>
    </row>
    <row r="134" spans="2:9" ht="12">
      <c r="B134" s="36">
        <f t="shared" si="20"/>
        <v>6.5</v>
      </c>
      <c r="C134" s="6">
        <f t="shared" si="16"/>
        <v>209.973</v>
      </c>
      <c r="D134" s="6">
        <f t="shared" si="17"/>
        <v>69.331</v>
      </c>
      <c r="E134" s="6">
        <f t="shared" si="18"/>
        <v>4.531</v>
      </c>
      <c r="F134" s="6">
        <f t="shared" si="23"/>
        <v>18.469</v>
      </c>
      <c r="G134" s="6">
        <f t="shared" si="19"/>
        <v>101.853</v>
      </c>
      <c r="H134" s="6">
        <f t="shared" si="21"/>
        <v>41.598</v>
      </c>
      <c r="I134" s="7">
        <f t="shared" si="22"/>
        <v>422.75500000000005</v>
      </c>
    </row>
    <row r="135" spans="2:9" ht="12">
      <c r="B135" s="36">
        <f t="shared" si="20"/>
        <v>6.75</v>
      </c>
      <c r="C135" s="6">
        <f t="shared" si="16"/>
        <v>215.992</v>
      </c>
      <c r="D135" s="6">
        <f t="shared" si="17"/>
        <v>71.318</v>
      </c>
      <c r="E135" s="6">
        <f t="shared" si="18"/>
        <v>4.705</v>
      </c>
      <c r="F135" s="6">
        <f t="shared" si="23"/>
        <v>18.295</v>
      </c>
      <c r="G135" s="6">
        <f t="shared" si="19"/>
        <v>104.772</v>
      </c>
      <c r="H135" s="6">
        <f t="shared" si="21"/>
        <v>42.79</v>
      </c>
      <c r="I135" s="7">
        <f t="shared" si="22"/>
        <v>434.872</v>
      </c>
    </row>
    <row r="136" spans="2:9" ht="12">
      <c r="B136" s="36">
        <f t="shared" si="20"/>
        <v>7</v>
      </c>
      <c r="C136" s="6">
        <f t="shared" si="16"/>
        <v>221.858</v>
      </c>
      <c r="D136" s="6">
        <f t="shared" si="17"/>
        <v>73.255</v>
      </c>
      <c r="E136" s="6">
        <f t="shared" si="18"/>
        <v>4.879</v>
      </c>
      <c r="F136" s="6">
        <f t="shared" si="23"/>
        <v>18.121000000000002</v>
      </c>
      <c r="G136" s="6">
        <f t="shared" si="19"/>
        <v>107.618</v>
      </c>
      <c r="H136" s="6">
        <f t="shared" si="21"/>
        <v>43.952</v>
      </c>
      <c r="I136" s="7">
        <f t="shared" si="22"/>
        <v>446.683</v>
      </c>
    </row>
    <row r="137" spans="2:9" ht="12">
      <c r="B137" s="36">
        <f t="shared" si="20"/>
        <v>7.25</v>
      </c>
      <c r="C137" s="6">
        <f t="shared" si="16"/>
        <v>227.572</v>
      </c>
      <c r="D137" s="6">
        <f t="shared" si="17"/>
        <v>75.142</v>
      </c>
      <c r="E137" s="6">
        <f t="shared" si="18"/>
        <v>5.053</v>
      </c>
      <c r="F137" s="6">
        <f t="shared" si="23"/>
        <v>17.947</v>
      </c>
      <c r="G137" s="6">
        <f t="shared" si="19"/>
        <v>110.389</v>
      </c>
      <c r="H137" s="6">
        <f t="shared" si="21"/>
        <v>45.084</v>
      </c>
      <c r="I137" s="7">
        <f t="shared" si="22"/>
        <v>458.187</v>
      </c>
    </row>
    <row r="138" spans="2:9" ht="12">
      <c r="B138" s="36">
        <f t="shared" si="20"/>
        <v>7.5</v>
      </c>
      <c r="C138" s="6">
        <f t="shared" si="16"/>
        <v>233.134</v>
      </c>
      <c r="D138" s="6">
        <f t="shared" si="17"/>
        <v>76.978</v>
      </c>
      <c r="E138" s="6">
        <f t="shared" si="18"/>
        <v>5.228</v>
      </c>
      <c r="F138" s="6">
        <f t="shared" si="23"/>
        <v>17.772</v>
      </c>
      <c r="G138" s="6">
        <f t="shared" si="19"/>
        <v>113.087</v>
      </c>
      <c r="H138" s="6">
        <f t="shared" si="21"/>
        <v>46.186</v>
      </c>
      <c r="I138" s="7">
        <f t="shared" si="22"/>
        <v>469.385</v>
      </c>
    </row>
    <row r="139" spans="2:9" ht="12">
      <c r="B139" s="36">
        <f t="shared" si="20"/>
        <v>7.75</v>
      </c>
      <c r="C139" s="6">
        <f aca="true" t="shared" si="24" ref="C139:C170">ROUND($F$101*$E$2^2/2*(B139/$E$2*(1-B139/$E$2)),3)</f>
        <v>238.543</v>
      </c>
      <c r="D139" s="6">
        <f aca="true" t="shared" si="25" ref="D139:D174">ROUND($F$102*$E$2^2/2*($B139/$E$2*(1-$B139/$E$2)),3)</f>
        <v>78.764</v>
      </c>
      <c r="E139" s="6">
        <f aca="true" t="shared" si="26" ref="E139:E174">ROUND(B139*(1-$E$4),3)</f>
        <v>5.402</v>
      </c>
      <c r="F139" s="6">
        <f t="shared" si="23"/>
        <v>17.598</v>
      </c>
      <c r="G139" s="6">
        <f aca="true" t="shared" si="27" ref="G139:G170">ROUND($F$103*$E$4/2*($E$3+2*F139)*B139-$F$103/2*(B139-E139)^2,3)</f>
        <v>115.711</v>
      </c>
      <c r="H139" s="6">
        <f t="shared" si="21"/>
        <v>47.257</v>
      </c>
      <c r="I139" s="7">
        <f t="shared" si="22"/>
        <v>480.27500000000003</v>
      </c>
    </row>
    <row r="140" spans="2:9" ht="12">
      <c r="B140" s="36">
        <f t="shared" si="20"/>
        <v>8</v>
      </c>
      <c r="C140" s="6">
        <f t="shared" si="24"/>
        <v>243.8</v>
      </c>
      <c r="D140" s="6">
        <f t="shared" si="25"/>
        <v>80.5</v>
      </c>
      <c r="E140" s="6">
        <f t="shared" si="26"/>
        <v>5.576</v>
      </c>
      <c r="F140" s="6">
        <f aca="true" t="shared" si="28" ref="F140:F173">$E$2-E140-$E$3</f>
        <v>17.424</v>
      </c>
      <c r="G140" s="6">
        <f t="shared" si="27"/>
        <v>118.261</v>
      </c>
      <c r="H140" s="6">
        <f aca="true" t="shared" si="29" ref="H140:H174">ROUND((G140+D140)*$F$18,3)</f>
        <v>48.299</v>
      </c>
      <c r="I140" s="7">
        <f aca="true" t="shared" si="30" ref="I140:I174">C140+G140+D140+H140</f>
        <v>490.86</v>
      </c>
    </row>
    <row r="141" spans="2:9" ht="12">
      <c r="B141" s="41">
        <f aca="true" t="shared" si="31" ref="B141:B174">B140+0.25</f>
        <v>8.25</v>
      </c>
      <c r="C141" s="37">
        <f t="shared" si="24"/>
        <v>248.905</v>
      </c>
      <c r="D141" s="37">
        <f t="shared" si="25"/>
        <v>82.185</v>
      </c>
      <c r="E141" s="37">
        <f t="shared" si="26"/>
        <v>5.75</v>
      </c>
      <c r="F141" s="37">
        <f t="shared" si="28"/>
        <v>17.25</v>
      </c>
      <c r="G141" s="37">
        <f t="shared" si="27"/>
        <v>120.737</v>
      </c>
      <c r="H141" s="37">
        <f t="shared" si="29"/>
        <v>49.31</v>
      </c>
      <c r="I141" s="38">
        <f t="shared" si="30"/>
        <v>501.137</v>
      </c>
    </row>
    <row r="142" spans="2:9" ht="12">
      <c r="B142" s="36">
        <f t="shared" si="31"/>
        <v>8.5</v>
      </c>
      <c r="C142" s="6">
        <f t="shared" si="24"/>
        <v>253.857</v>
      </c>
      <c r="D142" s="6">
        <f t="shared" si="25"/>
        <v>83.821</v>
      </c>
      <c r="E142" s="6">
        <f t="shared" si="26"/>
        <v>5.925</v>
      </c>
      <c r="F142" s="6">
        <f t="shared" si="28"/>
        <v>17.075</v>
      </c>
      <c r="G142" s="6">
        <f t="shared" si="27"/>
        <v>123.139</v>
      </c>
      <c r="H142" s="6">
        <f t="shared" si="29"/>
        <v>50.291</v>
      </c>
      <c r="I142" s="7">
        <f t="shared" si="30"/>
        <v>511.108</v>
      </c>
    </row>
    <row r="143" spans="2:9" ht="12">
      <c r="B143" s="36">
        <f t="shared" si="31"/>
        <v>8.75</v>
      </c>
      <c r="C143" s="6">
        <f t="shared" si="24"/>
        <v>258.657</v>
      </c>
      <c r="D143" s="6">
        <f t="shared" si="25"/>
        <v>85.405</v>
      </c>
      <c r="E143" s="6">
        <f t="shared" si="26"/>
        <v>6.099</v>
      </c>
      <c r="F143" s="6">
        <f t="shared" si="28"/>
        <v>16.901</v>
      </c>
      <c r="G143" s="6">
        <f t="shared" si="27"/>
        <v>125.468</v>
      </c>
      <c r="H143" s="6">
        <f t="shared" si="29"/>
        <v>51.242</v>
      </c>
      <c r="I143" s="7">
        <f t="shared" si="30"/>
        <v>520.7719999999999</v>
      </c>
    </row>
    <row r="144" spans="2:9" ht="12">
      <c r="B144" s="36">
        <f t="shared" si="31"/>
        <v>9</v>
      </c>
      <c r="C144" s="6">
        <f t="shared" si="24"/>
        <v>263.304</v>
      </c>
      <c r="D144" s="6">
        <f t="shared" si="25"/>
        <v>86.94</v>
      </c>
      <c r="E144" s="6">
        <f t="shared" si="26"/>
        <v>6.273</v>
      </c>
      <c r="F144" s="6">
        <f t="shared" si="28"/>
        <v>16.727</v>
      </c>
      <c r="G144" s="6">
        <f t="shared" si="27"/>
        <v>127.722</v>
      </c>
      <c r="H144" s="6">
        <f t="shared" si="29"/>
        <v>52.163</v>
      </c>
      <c r="I144" s="7">
        <f t="shared" si="30"/>
        <v>530.1289999999999</v>
      </c>
    </row>
    <row r="145" spans="2:9" ht="12">
      <c r="B145" s="36">
        <f t="shared" si="31"/>
        <v>9.25</v>
      </c>
      <c r="C145" s="6">
        <f t="shared" si="24"/>
        <v>267.799</v>
      </c>
      <c r="D145" s="6">
        <f t="shared" si="25"/>
        <v>88.424</v>
      </c>
      <c r="E145" s="6">
        <f t="shared" si="26"/>
        <v>6.447</v>
      </c>
      <c r="F145" s="6">
        <f t="shared" si="28"/>
        <v>16.553</v>
      </c>
      <c r="G145" s="6">
        <f t="shared" si="27"/>
        <v>129.902</v>
      </c>
      <c r="H145" s="6">
        <f t="shared" si="29"/>
        <v>53.053</v>
      </c>
      <c r="I145" s="7">
        <f t="shared" si="30"/>
        <v>539.178</v>
      </c>
    </row>
    <row r="146" spans="2:9" ht="12">
      <c r="B146" s="36">
        <f t="shared" si="31"/>
        <v>9.5</v>
      </c>
      <c r="C146" s="6">
        <f t="shared" si="24"/>
        <v>272.142</v>
      </c>
      <c r="D146" s="6">
        <f t="shared" si="25"/>
        <v>89.858</v>
      </c>
      <c r="E146" s="6">
        <f t="shared" si="26"/>
        <v>6.622</v>
      </c>
      <c r="F146" s="6">
        <f t="shared" si="28"/>
        <v>16.378</v>
      </c>
      <c r="G146" s="6">
        <f t="shared" si="27"/>
        <v>132.009</v>
      </c>
      <c r="H146" s="6">
        <f t="shared" si="29"/>
        <v>53.914</v>
      </c>
      <c r="I146" s="7">
        <f t="shared" si="30"/>
        <v>547.923</v>
      </c>
    </row>
    <row r="147" spans="2:9" ht="12">
      <c r="B147" s="36">
        <f t="shared" si="31"/>
        <v>9.75</v>
      </c>
      <c r="C147" s="6">
        <f t="shared" si="24"/>
        <v>276.332</v>
      </c>
      <c r="D147" s="6">
        <f t="shared" si="25"/>
        <v>91.242</v>
      </c>
      <c r="E147" s="6">
        <f t="shared" si="26"/>
        <v>6.796</v>
      </c>
      <c r="F147" s="6">
        <f t="shared" si="28"/>
        <v>16.204</v>
      </c>
      <c r="G147" s="6">
        <f t="shared" si="27"/>
        <v>134.041</v>
      </c>
      <c r="H147" s="6">
        <f t="shared" si="29"/>
        <v>54.744</v>
      </c>
      <c r="I147" s="7">
        <f t="shared" si="30"/>
        <v>556.359</v>
      </c>
    </row>
    <row r="148" spans="2:9" ht="12">
      <c r="B148" s="36">
        <f t="shared" si="31"/>
        <v>10</v>
      </c>
      <c r="C148" s="6">
        <f t="shared" si="24"/>
        <v>280.37</v>
      </c>
      <c r="D148" s="6">
        <f t="shared" si="25"/>
        <v>92.575</v>
      </c>
      <c r="E148" s="6">
        <f t="shared" si="26"/>
        <v>6.97</v>
      </c>
      <c r="F148" s="6">
        <f t="shared" si="28"/>
        <v>16.03</v>
      </c>
      <c r="G148" s="6">
        <f t="shared" si="27"/>
        <v>136</v>
      </c>
      <c r="H148" s="6">
        <f t="shared" si="29"/>
        <v>55.544</v>
      </c>
      <c r="I148" s="7">
        <f t="shared" si="30"/>
        <v>564.489</v>
      </c>
    </row>
    <row r="149" spans="2:9" ht="12">
      <c r="B149" s="36">
        <f t="shared" si="31"/>
        <v>10.25</v>
      </c>
      <c r="C149" s="6">
        <f t="shared" si="24"/>
        <v>284.256</v>
      </c>
      <c r="D149" s="6">
        <f t="shared" si="25"/>
        <v>93.858</v>
      </c>
      <c r="E149" s="6">
        <f t="shared" si="26"/>
        <v>7.144</v>
      </c>
      <c r="F149" s="6">
        <f t="shared" si="28"/>
        <v>15.856000000000002</v>
      </c>
      <c r="G149" s="6">
        <f t="shared" si="27"/>
        <v>137.885</v>
      </c>
      <c r="H149" s="6">
        <f t="shared" si="29"/>
        <v>56.314</v>
      </c>
      <c r="I149" s="7">
        <f t="shared" si="30"/>
        <v>572.313</v>
      </c>
    </row>
    <row r="150" spans="2:9" ht="12">
      <c r="B150" s="36">
        <f t="shared" si="31"/>
        <v>10.5</v>
      </c>
      <c r="C150" s="6">
        <f t="shared" si="24"/>
        <v>287.989</v>
      </c>
      <c r="D150" s="6">
        <f t="shared" si="25"/>
        <v>95.091</v>
      </c>
      <c r="E150" s="6">
        <f t="shared" si="26"/>
        <v>7.319</v>
      </c>
      <c r="F150" s="6">
        <f t="shared" si="28"/>
        <v>15.681000000000001</v>
      </c>
      <c r="G150" s="6">
        <f t="shared" si="27"/>
        <v>139.696</v>
      </c>
      <c r="H150" s="6">
        <f t="shared" si="29"/>
        <v>57.053</v>
      </c>
      <c r="I150" s="7">
        <f t="shared" si="30"/>
        <v>579.829</v>
      </c>
    </row>
    <row r="151" spans="2:9" ht="12">
      <c r="B151" s="36">
        <f t="shared" si="31"/>
        <v>10.75</v>
      </c>
      <c r="C151" s="6">
        <f t="shared" si="24"/>
        <v>291.57</v>
      </c>
      <c r="D151" s="6">
        <f t="shared" si="25"/>
        <v>96.273</v>
      </c>
      <c r="E151" s="6">
        <f t="shared" si="26"/>
        <v>7.493</v>
      </c>
      <c r="F151" s="6">
        <f t="shared" si="28"/>
        <v>15.506999999999998</v>
      </c>
      <c r="G151" s="6">
        <f t="shared" si="27"/>
        <v>141.433</v>
      </c>
      <c r="H151" s="6">
        <f t="shared" si="29"/>
        <v>57.763</v>
      </c>
      <c r="I151" s="7">
        <f t="shared" si="30"/>
        <v>587.039</v>
      </c>
    </row>
    <row r="152" spans="2:9" ht="12">
      <c r="B152" s="42">
        <f t="shared" si="31"/>
        <v>11</v>
      </c>
      <c r="C152" s="43">
        <f t="shared" si="24"/>
        <v>294.998</v>
      </c>
      <c r="D152" s="43">
        <f t="shared" si="25"/>
        <v>97.405</v>
      </c>
      <c r="E152" s="43">
        <f t="shared" si="26"/>
        <v>7.667</v>
      </c>
      <c r="F152" s="43">
        <f t="shared" si="28"/>
        <v>15.332999999999998</v>
      </c>
      <c r="G152" s="43">
        <f t="shared" si="27"/>
        <v>143.096</v>
      </c>
      <c r="H152" s="43">
        <f t="shared" si="29"/>
        <v>58.442</v>
      </c>
      <c r="I152" s="44">
        <f t="shared" si="30"/>
        <v>593.941</v>
      </c>
    </row>
    <row r="153" spans="2:9" ht="12">
      <c r="B153" s="36">
        <f t="shared" si="31"/>
        <v>11.25</v>
      </c>
      <c r="C153" s="6">
        <f t="shared" si="24"/>
        <v>298.274</v>
      </c>
      <c r="D153" s="6">
        <f t="shared" si="25"/>
        <v>98.487</v>
      </c>
      <c r="E153" s="6">
        <f t="shared" si="26"/>
        <v>7.841</v>
      </c>
      <c r="F153" s="6">
        <f t="shared" si="28"/>
        <v>15.158999999999999</v>
      </c>
      <c r="G153" s="6">
        <f t="shared" si="27"/>
        <v>144.685</v>
      </c>
      <c r="H153" s="6">
        <f t="shared" si="29"/>
        <v>59.091</v>
      </c>
      <c r="I153" s="7">
        <f t="shared" si="30"/>
        <v>600.537</v>
      </c>
    </row>
    <row r="154" spans="2:9" ht="12">
      <c r="B154" s="36">
        <f t="shared" si="31"/>
        <v>11.5</v>
      </c>
      <c r="C154" s="6">
        <f t="shared" si="24"/>
        <v>301.398</v>
      </c>
      <c r="D154" s="6">
        <f t="shared" si="25"/>
        <v>99.518</v>
      </c>
      <c r="E154" s="6">
        <f t="shared" si="26"/>
        <v>8.016</v>
      </c>
      <c r="F154" s="6">
        <f t="shared" si="28"/>
        <v>14.984000000000002</v>
      </c>
      <c r="G154" s="6">
        <f t="shared" si="27"/>
        <v>146.2</v>
      </c>
      <c r="H154" s="6">
        <f t="shared" si="29"/>
        <v>59.709</v>
      </c>
      <c r="I154" s="7">
        <f t="shared" si="30"/>
        <v>606.825</v>
      </c>
    </row>
    <row r="155" spans="2:9" ht="12">
      <c r="B155" s="36">
        <f t="shared" si="31"/>
        <v>11.75</v>
      </c>
      <c r="C155" s="6">
        <f t="shared" si="24"/>
        <v>304.369</v>
      </c>
      <c r="D155" s="6">
        <f t="shared" si="25"/>
        <v>100.499</v>
      </c>
      <c r="E155" s="6">
        <f t="shared" si="26"/>
        <v>8.19</v>
      </c>
      <c r="F155" s="6">
        <f t="shared" si="28"/>
        <v>14.810000000000002</v>
      </c>
      <c r="G155" s="6">
        <f t="shared" si="27"/>
        <v>147.641</v>
      </c>
      <c r="H155" s="6">
        <f t="shared" si="29"/>
        <v>60.298</v>
      </c>
      <c r="I155" s="7">
        <f t="shared" si="30"/>
        <v>612.807</v>
      </c>
    </row>
    <row r="156" spans="2:9" ht="12">
      <c r="B156" s="36">
        <f t="shared" si="31"/>
        <v>12</v>
      </c>
      <c r="C156" s="6">
        <f t="shared" si="24"/>
        <v>307.188</v>
      </c>
      <c r="D156" s="6">
        <f t="shared" si="25"/>
        <v>101.43</v>
      </c>
      <c r="E156" s="6">
        <f t="shared" si="26"/>
        <v>8.364</v>
      </c>
      <c r="F156" s="6">
        <f t="shared" si="28"/>
        <v>14.636</v>
      </c>
      <c r="G156" s="6">
        <f t="shared" si="27"/>
        <v>149.008</v>
      </c>
      <c r="H156" s="6">
        <f t="shared" si="29"/>
        <v>60.856</v>
      </c>
      <c r="I156" s="7">
        <f t="shared" si="30"/>
        <v>618.482</v>
      </c>
    </row>
    <row r="157" spans="2:9" ht="12">
      <c r="B157" s="36">
        <f t="shared" si="31"/>
        <v>12.25</v>
      </c>
      <c r="C157" s="6">
        <f t="shared" si="24"/>
        <v>309.855</v>
      </c>
      <c r="D157" s="6">
        <f t="shared" si="25"/>
        <v>102.31</v>
      </c>
      <c r="E157" s="6">
        <f t="shared" si="26"/>
        <v>8.538</v>
      </c>
      <c r="F157" s="6">
        <f t="shared" si="28"/>
        <v>14.462</v>
      </c>
      <c r="G157" s="6">
        <f t="shared" si="27"/>
        <v>150.302</v>
      </c>
      <c r="H157" s="6">
        <f t="shared" si="29"/>
        <v>61.385</v>
      </c>
      <c r="I157" s="7">
        <f t="shared" si="30"/>
        <v>623.8520000000001</v>
      </c>
    </row>
    <row r="158" spans="2:9" ht="12">
      <c r="B158" s="36">
        <f t="shared" si="31"/>
        <v>12.5</v>
      </c>
      <c r="C158" s="6">
        <f t="shared" si="24"/>
        <v>312.369</v>
      </c>
      <c r="D158" s="6">
        <f t="shared" si="25"/>
        <v>103.141</v>
      </c>
      <c r="E158" s="6">
        <f t="shared" si="26"/>
        <v>8.713</v>
      </c>
      <c r="F158" s="6">
        <f t="shared" si="28"/>
        <v>14.286999999999999</v>
      </c>
      <c r="G158" s="6">
        <f t="shared" si="27"/>
        <v>151.521</v>
      </c>
      <c r="H158" s="6">
        <f t="shared" si="29"/>
        <v>61.883</v>
      </c>
      <c r="I158" s="7">
        <f t="shared" si="30"/>
        <v>628.914</v>
      </c>
    </row>
    <row r="159" spans="2:9" ht="12">
      <c r="B159" s="36">
        <f t="shared" si="31"/>
        <v>12.75</v>
      </c>
      <c r="C159" s="6">
        <f t="shared" si="24"/>
        <v>314.731</v>
      </c>
      <c r="D159" s="6">
        <f t="shared" si="25"/>
        <v>103.92</v>
      </c>
      <c r="E159" s="6">
        <f t="shared" si="26"/>
        <v>8.887</v>
      </c>
      <c r="F159" s="6">
        <f t="shared" si="28"/>
        <v>14.113</v>
      </c>
      <c r="G159" s="6">
        <f t="shared" si="27"/>
        <v>152.667</v>
      </c>
      <c r="H159" s="6">
        <f t="shared" si="29"/>
        <v>62.351</v>
      </c>
      <c r="I159" s="7">
        <f t="shared" si="30"/>
        <v>633.669</v>
      </c>
    </row>
    <row r="160" spans="2:9" ht="12">
      <c r="B160" s="36">
        <f t="shared" si="31"/>
        <v>13</v>
      </c>
      <c r="C160" s="6">
        <f t="shared" si="24"/>
        <v>316.94</v>
      </c>
      <c r="D160" s="6">
        <f t="shared" si="25"/>
        <v>104.65</v>
      </c>
      <c r="E160" s="6">
        <f t="shared" si="26"/>
        <v>9.061</v>
      </c>
      <c r="F160" s="6">
        <f t="shared" si="28"/>
        <v>13.939</v>
      </c>
      <c r="G160" s="6">
        <f t="shared" si="27"/>
        <v>153.739</v>
      </c>
      <c r="H160" s="6">
        <f t="shared" si="29"/>
        <v>62.789</v>
      </c>
      <c r="I160" s="7">
        <f t="shared" si="30"/>
        <v>638.1179999999999</v>
      </c>
    </row>
    <row r="161" spans="2:9" ht="12">
      <c r="B161" s="36">
        <f t="shared" si="31"/>
        <v>13.25</v>
      </c>
      <c r="C161" s="6">
        <f t="shared" si="24"/>
        <v>318.997</v>
      </c>
      <c r="D161" s="6">
        <f t="shared" si="25"/>
        <v>105.329</v>
      </c>
      <c r="E161" s="6">
        <f t="shared" si="26"/>
        <v>9.235</v>
      </c>
      <c r="F161" s="6">
        <f t="shared" si="28"/>
        <v>13.765</v>
      </c>
      <c r="G161" s="6">
        <f t="shared" si="27"/>
        <v>154.736</v>
      </c>
      <c r="H161" s="6">
        <f t="shared" si="29"/>
        <v>63.196</v>
      </c>
      <c r="I161" s="7">
        <f t="shared" si="30"/>
        <v>642.258</v>
      </c>
    </row>
    <row r="162" spans="2:9" ht="12">
      <c r="B162" s="36">
        <f t="shared" si="31"/>
        <v>13.5</v>
      </c>
      <c r="C162" s="6">
        <f t="shared" si="24"/>
        <v>320.902</v>
      </c>
      <c r="D162" s="6">
        <f t="shared" si="25"/>
        <v>105.958</v>
      </c>
      <c r="E162" s="6">
        <f t="shared" si="26"/>
        <v>9.41</v>
      </c>
      <c r="F162" s="6">
        <f t="shared" si="28"/>
        <v>13.59</v>
      </c>
      <c r="G162" s="6">
        <f t="shared" si="27"/>
        <v>155.66</v>
      </c>
      <c r="H162" s="6">
        <f t="shared" si="29"/>
        <v>63.573</v>
      </c>
      <c r="I162" s="7">
        <f t="shared" si="30"/>
        <v>646.093</v>
      </c>
    </row>
    <row r="163" spans="2:9" ht="12">
      <c r="B163" s="36">
        <f t="shared" si="31"/>
        <v>13.75</v>
      </c>
      <c r="C163" s="6">
        <f t="shared" si="24"/>
        <v>322.654</v>
      </c>
      <c r="D163" s="6">
        <f t="shared" si="25"/>
        <v>106.537</v>
      </c>
      <c r="E163" s="6">
        <f t="shared" si="26"/>
        <v>9.584</v>
      </c>
      <c r="F163" s="6">
        <f t="shared" si="28"/>
        <v>13.416</v>
      </c>
      <c r="G163" s="6">
        <f t="shared" si="27"/>
        <v>156.51</v>
      </c>
      <c r="H163" s="6">
        <f t="shared" si="29"/>
        <v>63.92</v>
      </c>
      <c r="I163" s="7">
        <f t="shared" si="30"/>
        <v>649.621</v>
      </c>
    </row>
    <row r="164" spans="2:9" ht="12">
      <c r="B164" s="36">
        <f t="shared" si="31"/>
        <v>14</v>
      </c>
      <c r="C164" s="6">
        <f t="shared" si="24"/>
        <v>324.254</v>
      </c>
      <c r="D164" s="6">
        <f t="shared" si="25"/>
        <v>107.065</v>
      </c>
      <c r="E164" s="6">
        <f t="shared" si="26"/>
        <v>9.758</v>
      </c>
      <c r="F164" s="6">
        <f t="shared" si="28"/>
        <v>13.242</v>
      </c>
      <c r="G164" s="6">
        <f t="shared" si="27"/>
        <v>157.286</v>
      </c>
      <c r="H164" s="6">
        <f t="shared" si="29"/>
        <v>64.237</v>
      </c>
      <c r="I164" s="7">
        <f t="shared" si="30"/>
        <v>652.842</v>
      </c>
    </row>
    <row r="165" spans="2:9" ht="12">
      <c r="B165" s="36">
        <f t="shared" si="31"/>
        <v>14.25</v>
      </c>
      <c r="C165" s="6">
        <f t="shared" si="24"/>
        <v>325.702</v>
      </c>
      <c r="D165" s="6">
        <f t="shared" si="25"/>
        <v>107.543</v>
      </c>
      <c r="E165" s="6">
        <f t="shared" si="26"/>
        <v>9.932</v>
      </c>
      <c r="F165" s="6">
        <f t="shared" si="28"/>
        <v>13.067999999999998</v>
      </c>
      <c r="G165" s="6">
        <f t="shared" si="27"/>
        <v>157.988</v>
      </c>
      <c r="H165" s="6">
        <f t="shared" si="29"/>
        <v>64.524</v>
      </c>
      <c r="I165" s="7">
        <f t="shared" si="30"/>
        <v>655.757</v>
      </c>
    </row>
    <row r="166" spans="2:9" ht="12">
      <c r="B166" s="36">
        <f t="shared" si="31"/>
        <v>14.5</v>
      </c>
      <c r="C166" s="6">
        <f t="shared" si="24"/>
        <v>326.997</v>
      </c>
      <c r="D166" s="6">
        <f t="shared" si="25"/>
        <v>107.971</v>
      </c>
      <c r="E166" s="6">
        <f t="shared" si="26"/>
        <v>10.107</v>
      </c>
      <c r="F166" s="6">
        <f t="shared" si="28"/>
        <v>12.893</v>
      </c>
      <c r="G166" s="6">
        <f t="shared" si="27"/>
        <v>158.616</v>
      </c>
      <c r="H166" s="6">
        <f t="shared" si="29"/>
        <v>64.781</v>
      </c>
      <c r="I166" s="7">
        <f t="shared" si="30"/>
        <v>658.365</v>
      </c>
    </row>
    <row r="167" spans="2:9" ht="12">
      <c r="B167" s="36">
        <f t="shared" si="31"/>
        <v>14.75</v>
      </c>
      <c r="C167" s="6">
        <f t="shared" si="24"/>
        <v>328.14</v>
      </c>
      <c r="D167" s="6">
        <f t="shared" si="25"/>
        <v>108.348</v>
      </c>
      <c r="E167" s="6">
        <f t="shared" si="26"/>
        <v>10.281</v>
      </c>
      <c r="F167" s="6">
        <f t="shared" si="28"/>
        <v>12.719000000000001</v>
      </c>
      <c r="G167" s="6">
        <f t="shared" si="27"/>
        <v>159.171</v>
      </c>
      <c r="H167" s="6">
        <f t="shared" si="29"/>
        <v>65.007</v>
      </c>
      <c r="I167" s="7">
        <f t="shared" si="30"/>
        <v>660.6659999999999</v>
      </c>
    </row>
    <row r="168" spans="2:9" ht="12">
      <c r="B168" s="36">
        <f t="shared" si="31"/>
        <v>15</v>
      </c>
      <c r="C168" s="6">
        <f t="shared" si="24"/>
        <v>329.13</v>
      </c>
      <c r="D168" s="6">
        <f t="shared" si="25"/>
        <v>108.675</v>
      </c>
      <c r="E168" s="6">
        <f t="shared" si="26"/>
        <v>10.455</v>
      </c>
      <c r="F168" s="6">
        <f t="shared" si="28"/>
        <v>12.545000000000002</v>
      </c>
      <c r="G168" s="6">
        <f t="shared" si="27"/>
        <v>159.651</v>
      </c>
      <c r="H168" s="6">
        <f t="shared" si="29"/>
        <v>65.203</v>
      </c>
      <c r="I168" s="7">
        <f t="shared" si="30"/>
        <v>662.659</v>
      </c>
    </row>
    <row r="169" spans="2:9" ht="12">
      <c r="B169" s="36">
        <f t="shared" si="31"/>
        <v>15.25</v>
      </c>
      <c r="C169" s="6">
        <f t="shared" si="24"/>
        <v>329.968</v>
      </c>
      <c r="D169" s="6">
        <f t="shared" si="25"/>
        <v>108.952</v>
      </c>
      <c r="E169" s="6">
        <f t="shared" si="26"/>
        <v>10.629</v>
      </c>
      <c r="F169" s="6">
        <f t="shared" si="28"/>
        <v>12.371000000000002</v>
      </c>
      <c r="G169" s="6">
        <f t="shared" si="27"/>
        <v>160.058</v>
      </c>
      <c r="H169" s="6">
        <f t="shared" si="29"/>
        <v>65.369</v>
      </c>
      <c r="I169" s="7">
        <f t="shared" si="30"/>
        <v>664.3470000000001</v>
      </c>
    </row>
    <row r="170" spans="2:9" ht="12">
      <c r="B170" s="36">
        <f t="shared" si="31"/>
        <v>15.5</v>
      </c>
      <c r="C170" s="6">
        <f t="shared" si="24"/>
        <v>330.654</v>
      </c>
      <c r="D170" s="6">
        <f t="shared" si="25"/>
        <v>109.178</v>
      </c>
      <c r="E170" s="6">
        <f t="shared" si="26"/>
        <v>10.804</v>
      </c>
      <c r="F170" s="6">
        <f t="shared" si="28"/>
        <v>12.195999999999998</v>
      </c>
      <c r="G170" s="6">
        <f t="shared" si="27"/>
        <v>160.39</v>
      </c>
      <c r="H170" s="6">
        <f t="shared" si="29"/>
        <v>65.505</v>
      </c>
      <c r="I170" s="7">
        <f t="shared" si="30"/>
        <v>665.727</v>
      </c>
    </row>
    <row r="171" spans="2:9" ht="10.5" customHeight="1">
      <c r="B171" s="36">
        <f t="shared" si="31"/>
        <v>15.75</v>
      </c>
      <c r="C171" s="6">
        <f>ROUND($F$101*$E$2^2/2*(B171/$E$2*(1-B171/$E$2)),3)</f>
        <v>331.187</v>
      </c>
      <c r="D171" s="6">
        <f t="shared" si="25"/>
        <v>109.354</v>
      </c>
      <c r="E171" s="6">
        <f t="shared" si="26"/>
        <v>10.978</v>
      </c>
      <c r="F171" s="6">
        <f t="shared" si="28"/>
        <v>12.021999999999998</v>
      </c>
      <c r="G171" s="6">
        <f>ROUND($F$103*$E$4/2*($E$3+2*F171)*B171-$F$103/2*(B171-E171)^2,3)</f>
        <v>160.649</v>
      </c>
      <c r="H171" s="6">
        <f t="shared" si="29"/>
        <v>65.611</v>
      </c>
      <c r="I171" s="7">
        <f t="shared" si="30"/>
        <v>666.801</v>
      </c>
    </row>
    <row r="172" spans="2:9" ht="10.5" customHeight="1">
      <c r="B172" s="36">
        <f t="shared" si="31"/>
        <v>16</v>
      </c>
      <c r="C172" s="6">
        <f>ROUND($F$101*$E$2^2/2*(B172/$E$2*(1-B172/$E$2)),3)</f>
        <v>331.568</v>
      </c>
      <c r="D172" s="6">
        <f t="shared" si="25"/>
        <v>109.48</v>
      </c>
      <c r="E172" s="6">
        <f t="shared" si="26"/>
        <v>11.152</v>
      </c>
      <c r="F172" s="6">
        <f t="shared" si="28"/>
        <v>11.847999999999999</v>
      </c>
      <c r="G172" s="6">
        <f>ROUND($F$103*$E$4/2*($E$3+2*F172)*B172-$F$103/2*(B172-E172)^2,3)</f>
        <v>160.833</v>
      </c>
      <c r="H172" s="6">
        <f t="shared" si="29"/>
        <v>65.686</v>
      </c>
      <c r="I172" s="7">
        <f t="shared" si="30"/>
        <v>667.567</v>
      </c>
    </row>
    <row r="173" spans="2:9" ht="10.5" customHeight="1">
      <c r="B173" s="36">
        <f t="shared" si="31"/>
        <v>16.25</v>
      </c>
      <c r="C173" s="6">
        <f>ROUND($F$101*$E$2^2/2*(B173/$E$2*(1-B173/$E$2)),3)</f>
        <v>331.797</v>
      </c>
      <c r="D173" s="6">
        <f t="shared" si="25"/>
        <v>109.555</v>
      </c>
      <c r="E173" s="6">
        <f t="shared" si="26"/>
        <v>11.326</v>
      </c>
      <c r="F173" s="6">
        <f t="shared" si="28"/>
        <v>11.674</v>
      </c>
      <c r="G173" s="6">
        <f>ROUND($F$103*$E$4/2*($E$3+2*F173)*B173-$F$103/2*(B173-E173)^2,3)</f>
        <v>160.944</v>
      </c>
      <c r="H173" s="6">
        <f t="shared" si="29"/>
        <v>65.731</v>
      </c>
      <c r="I173" s="7">
        <f t="shared" si="30"/>
        <v>668.027</v>
      </c>
    </row>
    <row r="174" spans="2:9" ht="10.5" customHeight="1">
      <c r="B174" s="41">
        <f t="shared" si="31"/>
        <v>16.5</v>
      </c>
      <c r="C174" s="37">
        <f>ROUND($F$101*$E$2^2/2*(B174/$E$2*(1-B174/$E$2)),3)</f>
        <v>331.873</v>
      </c>
      <c r="D174" s="37">
        <f t="shared" si="25"/>
        <v>109.581</v>
      </c>
      <c r="E174" s="37">
        <f t="shared" si="26"/>
        <v>11.501</v>
      </c>
      <c r="F174" s="37">
        <f>$E$2-E174-$E$3</f>
        <v>11.499000000000002</v>
      </c>
      <c r="G174" s="37">
        <f>ROUND($F$103*$E$4/2*($E$3+2*F174)*B174-$F$103/2*(B174-E174)^2,3)</f>
        <v>160.981</v>
      </c>
      <c r="H174" s="37">
        <f t="shared" si="29"/>
        <v>65.747</v>
      </c>
      <c r="I174" s="38">
        <f t="shared" si="30"/>
        <v>668.1819999999999</v>
      </c>
    </row>
    <row r="175" ht="12">
      <c r="B175" s="36"/>
    </row>
    <row r="176" ht="12">
      <c r="A176" s="2" t="s">
        <v>1031</v>
      </c>
    </row>
    <row r="177" spans="7:10" ht="12">
      <c r="G177" s="2" t="s">
        <v>1032</v>
      </c>
      <c r="H177" s="2" t="s">
        <v>1497</v>
      </c>
      <c r="I177" s="2" t="s">
        <v>1498</v>
      </c>
      <c r="J177" s="2" t="s">
        <v>1499</v>
      </c>
    </row>
    <row r="178" spans="1:10" ht="12">
      <c r="A178" s="2">
        <v>3</v>
      </c>
      <c r="B178" s="36">
        <f>H179</f>
        <v>4.125</v>
      </c>
      <c r="C178" s="6">
        <f>ROUND($F$183*$E$2*(1/2-B178/$E$2),3)</f>
        <v>25.653</v>
      </c>
      <c r="D178" s="6">
        <f>ROUND(($F$184*$E$2)/2*(1-B178/$E$2)^2,3)</f>
        <v>6.746</v>
      </c>
      <c r="E178" s="6">
        <f>ROUND($F$185*$E$3*($E$2-B178-$E$3/2)/$E$2,3)</f>
        <v>13.247</v>
      </c>
      <c r="F178" s="6">
        <f>ROUND((E178+D178)*$F$186,3)</f>
        <v>4.858</v>
      </c>
      <c r="G178" s="6">
        <f>SUM(C178:F178)</f>
        <v>50.504</v>
      </c>
      <c r="H178" s="2">
        <v>0</v>
      </c>
      <c r="I178" s="2">
        <f>H179</f>
        <v>4.125</v>
      </c>
      <c r="J178" s="2">
        <f>I179</f>
        <v>8.25</v>
      </c>
    </row>
    <row r="179" spans="1:10" ht="12">
      <c r="A179" s="2">
        <v>2</v>
      </c>
      <c r="B179" s="36">
        <f>I179</f>
        <v>8.25</v>
      </c>
      <c r="C179" s="6">
        <f>ROUND($F$183*$E$2*(1/2-B179/$E$2),3)</f>
        <v>17.102</v>
      </c>
      <c r="D179" s="6">
        <f>ROUND(($F$184*$E$2)/2*(1-B179/$E$2)^2,3)</f>
        <v>4.956</v>
      </c>
      <c r="E179" s="6">
        <f>ROUND($F$185*$E$3*($E$2-B179-$E$3/2)/$E$2,3)</f>
        <v>10.958</v>
      </c>
      <c r="F179" s="6">
        <f>ROUND((E179+D179)*$F$186,3)</f>
        <v>3.867</v>
      </c>
      <c r="G179" s="6">
        <f>SUM(C179:F179)</f>
        <v>36.882999999999996</v>
      </c>
      <c r="H179" s="2">
        <f>G7</f>
        <v>4.125</v>
      </c>
      <c r="I179" s="2">
        <f>H7</f>
        <v>8.25</v>
      </c>
      <c r="J179" s="2">
        <f>I7</f>
        <v>16.5</v>
      </c>
    </row>
    <row r="180" spans="1:10" ht="12">
      <c r="A180" s="2">
        <v>1</v>
      </c>
      <c r="B180" s="36">
        <f>J179</f>
        <v>16.5</v>
      </c>
      <c r="C180" s="6">
        <f>ROUND($F$183*$E$2*(1/2-B180/$E$2),3)</f>
        <v>0</v>
      </c>
      <c r="D180" s="6">
        <f>ROUND(($F$184*$E$2)/2*(1-B180/$E$2)^2,3)</f>
        <v>2.203</v>
      </c>
      <c r="E180" s="6">
        <f>ROUND($F$185*$E$3*($E$2-B180-$E$3/2)/$E$2,3)</f>
        <v>6.381</v>
      </c>
      <c r="F180" s="6">
        <f>ROUND((E180+D180)*$F$186,3)</f>
        <v>2.086</v>
      </c>
      <c r="G180" s="6">
        <f>SUM(C180:F180)</f>
        <v>10.67</v>
      </c>
      <c r="H180" s="2">
        <v>0</v>
      </c>
      <c r="I180" s="2">
        <v>0</v>
      </c>
      <c r="J180" s="2">
        <v>0</v>
      </c>
    </row>
    <row r="181" spans="8:10" ht="12">
      <c r="H181" s="6">
        <f>G178</f>
        <v>50.504</v>
      </c>
      <c r="I181" s="6">
        <f>G179</f>
        <v>36.882999999999996</v>
      </c>
      <c r="J181" s="6">
        <f>G180</f>
        <v>10.67</v>
      </c>
    </row>
    <row r="182" ht="12">
      <c r="A182" s="2" t="s">
        <v>1033</v>
      </c>
    </row>
    <row r="183" spans="2:8" ht="12">
      <c r="B183" s="2" t="s">
        <v>314</v>
      </c>
      <c r="D183" s="4" t="s">
        <v>1034</v>
      </c>
      <c r="E183" s="4" t="s">
        <v>336</v>
      </c>
      <c r="F183" s="2">
        <f>F15</f>
        <v>2.073</v>
      </c>
      <c r="G183" s="2" t="s">
        <v>102</v>
      </c>
      <c r="H183" s="2" t="s">
        <v>1035</v>
      </c>
    </row>
    <row r="184" spans="2:8" ht="12">
      <c r="B184" s="2" t="s">
        <v>1021</v>
      </c>
      <c r="E184" s="4" t="s">
        <v>342</v>
      </c>
      <c r="F184" s="2">
        <f>F16</f>
        <v>0.534</v>
      </c>
      <c r="G184" s="2" t="s">
        <v>109</v>
      </c>
      <c r="H184" s="2" t="s">
        <v>1036</v>
      </c>
    </row>
    <row r="185" spans="2:8" ht="12">
      <c r="B185" s="2" t="s">
        <v>1023</v>
      </c>
      <c r="E185" s="4" t="s">
        <v>349</v>
      </c>
      <c r="F185" s="2">
        <f>'主桁'!G43</f>
        <v>1.831</v>
      </c>
      <c r="G185" s="2" t="s">
        <v>109</v>
      </c>
      <c r="H185" s="2" t="s">
        <v>1037</v>
      </c>
    </row>
    <row r="186" spans="2:8" ht="12">
      <c r="B186" s="2" t="s">
        <v>1418</v>
      </c>
      <c r="E186" s="4" t="s">
        <v>1419</v>
      </c>
      <c r="F186" s="2">
        <f>F18</f>
        <v>0.243</v>
      </c>
      <c r="H186" s="2" t="s">
        <v>1038</v>
      </c>
    </row>
    <row r="188" spans="2:7" ht="12">
      <c r="B188" s="5" t="s">
        <v>1507</v>
      </c>
      <c r="C188" s="5" t="s">
        <v>399</v>
      </c>
      <c r="D188" s="5" t="s">
        <v>1039</v>
      </c>
      <c r="E188" s="5" t="s">
        <v>1040</v>
      </c>
      <c r="F188" s="5" t="s">
        <v>416</v>
      </c>
      <c r="G188" s="2" t="s">
        <v>1032</v>
      </c>
    </row>
    <row r="189" spans="2:7" ht="12">
      <c r="B189" s="2">
        <v>0</v>
      </c>
      <c r="C189" s="6">
        <f aca="true" t="shared" si="32" ref="C189:C220">ROUND($F$183*$E$2*(1/2-B189/$E$2),3)</f>
        <v>34.205</v>
      </c>
      <c r="D189" s="6">
        <f aca="true" t="shared" si="33" ref="D189:D220">ROUND(($F$184*$E$2)/2*(1-B189/$E$2)^2,3)</f>
        <v>8.811</v>
      </c>
      <c r="E189" s="6">
        <f aca="true" t="shared" si="34" ref="E189:E220">ROUND($F$185*$E$3*($E$2-B189-$E$3/2)/$E$2,3)</f>
        <v>15.536</v>
      </c>
      <c r="F189" s="6">
        <f>ROUND((E189+D189)*$F$186,3)</f>
        <v>5.916</v>
      </c>
      <c r="G189" s="6">
        <f aca="true" t="shared" si="35" ref="G189:G221">SUM(C189:F189)</f>
        <v>64.468</v>
      </c>
    </row>
    <row r="190" spans="2:7" ht="12">
      <c r="B190" s="36">
        <f aca="true" t="shared" si="36" ref="B190:B222">B189+0.25</f>
        <v>0.25</v>
      </c>
      <c r="C190" s="6">
        <f t="shared" si="32"/>
        <v>33.686</v>
      </c>
      <c r="D190" s="6">
        <f t="shared" si="33"/>
        <v>8.678</v>
      </c>
      <c r="E190" s="6">
        <f t="shared" si="34"/>
        <v>15.397</v>
      </c>
      <c r="F190" s="6">
        <f>ROUND((E190+D190)*$F$186,3)</f>
        <v>5.85</v>
      </c>
      <c r="G190" s="6">
        <f t="shared" si="35"/>
        <v>63.611000000000004</v>
      </c>
    </row>
    <row r="191" spans="2:7" ht="12">
      <c r="B191" s="36">
        <f t="shared" si="36"/>
        <v>0.5</v>
      </c>
      <c r="C191" s="6">
        <f t="shared" si="32"/>
        <v>33.168</v>
      </c>
      <c r="D191" s="6">
        <f t="shared" si="33"/>
        <v>8.546</v>
      </c>
      <c r="E191" s="6">
        <f t="shared" si="34"/>
        <v>15.258</v>
      </c>
      <c r="F191" s="6">
        <f aca="true" t="shared" si="37" ref="F191:F221">ROUND((E191+D191)*$F$186,3)</f>
        <v>5.784</v>
      </c>
      <c r="G191" s="6">
        <f t="shared" si="35"/>
        <v>62.75599999999999</v>
      </c>
    </row>
    <row r="192" spans="2:7" ht="12">
      <c r="B192" s="36">
        <f t="shared" si="36"/>
        <v>0.75</v>
      </c>
      <c r="C192" s="6">
        <f t="shared" si="32"/>
        <v>32.65</v>
      </c>
      <c r="D192" s="6">
        <f t="shared" si="33"/>
        <v>8.415</v>
      </c>
      <c r="E192" s="6">
        <f t="shared" si="34"/>
        <v>15.12</v>
      </c>
      <c r="F192" s="6">
        <f t="shared" si="37"/>
        <v>5.719</v>
      </c>
      <c r="G192" s="6">
        <f t="shared" si="35"/>
        <v>61.903999999999996</v>
      </c>
    </row>
    <row r="193" spans="2:7" ht="12">
      <c r="B193" s="36">
        <f t="shared" si="36"/>
        <v>1</v>
      </c>
      <c r="C193" s="6">
        <f t="shared" si="32"/>
        <v>32.132</v>
      </c>
      <c r="D193" s="6">
        <f t="shared" si="33"/>
        <v>8.285</v>
      </c>
      <c r="E193" s="6">
        <f t="shared" si="34"/>
        <v>14.981</v>
      </c>
      <c r="F193" s="6">
        <f t="shared" si="37"/>
        <v>5.654</v>
      </c>
      <c r="G193" s="6">
        <f t="shared" si="35"/>
        <v>61.05200000000001</v>
      </c>
    </row>
    <row r="194" spans="2:7" ht="12">
      <c r="B194" s="36">
        <f t="shared" si="36"/>
        <v>1.25</v>
      </c>
      <c r="C194" s="6">
        <f t="shared" si="32"/>
        <v>31.613</v>
      </c>
      <c r="D194" s="6">
        <f t="shared" si="33"/>
        <v>8.156</v>
      </c>
      <c r="E194" s="6">
        <f t="shared" si="34"/>
        <v>14.842</v>
      </c>
      <c r="F194" s="6">
        <f t="shared" si="37"/>
        <v>5.589</v>
      </c>
      <c r="G194" s="6">
        <f t="shared" si="35"/>
        <v>60.199999999999996</v>
      </c>
    </row>
    <row r="195" spans="2:7" ht="12">
      <c r="B195" s="36">
        <f t="shared" si="36"/>
        <v>1.5</v>
      </c>
      <c r="C195" s="6">
        <f t="shared" si="32"/>
        <v>31.095</v>
      </c>
      <c r="D195" s="6">
        <f t="shared" si="33"/>
        <v>8.028</v>
      </c>
      <c r="E195" s="6">
        <f t="shared" si="34"/>
        <v>14.703</v>
      </c>
      <c r="F195" s="6">
        <f t="shared" si="37"/>
        <v>5.524</v>
      </c>
      <c r="G195" s="6">
        <f t="shared" si="35"/>
        <v>59.349999999999994</v>
      </c>
    </row>
    <row r="196" spans="2:7" ht="12">
      <c r="B196" s="36">
        <f t="shared" si="36"/>
        <v>1.75</v>
      </c>
      <c r="C196" s="6">
        <f t="shared" si="32"/>
        <v>30.577</v>
      </c>
      <c r="D196" s="6">
        <f t="shared" si="33"/>
        <v>7.901</v>
      </c>
      <c r="E196" s="6">
        <f t="shared" si="34"/>
        <v>14.565</v>
      </c>
      <c r="F196" s="6">
        <f t="shared" si="37"/>
        <v>5.459</v>
      </c>
      <c r="G196" s="6">
        <f t="shared" si="35"/>
        <v>58.501999999999995</v>
      </c>
    </row>
    <row r="197" spans="2:7" ht="12">
      <c r="B197" s="36">
        <f t="shared" si="36"/>
        <v>2</v>
      </c>
      <c r="C197" s="6">
        <f t="shared" si="32"/>
        <v>30.059</v>
      </c>
      <c r="D197" s="6">
        <f t="shared" si="33"/>
        <v>7.775</v>
      </c>
      <c r="E197" s="6">
        <f t="shared" si="34"/>
        <v>14.426</v>
      </c>
      <c r="F197" s="6">
        <f t="shared" si="37"/>
        <v>5.395</v>
      </c>
      <c r="G197" s="6">
        <f t="shared" si="35"/>
        <v>57.655</v>
      </c>
    </row>
    <row r="198" spans="2:7" ht="12">
      <c r="B198" s="36">
        <f t="shared" si="36"/>
        <v>2.25</v>
      </c>
      <c r="C198" s="6">
        <f t="shared" si="32"/>
        <v>29.54</v>
      </c>
      <c r="D198" s="6">
        <f t="shared" si="33"/>
        <v>7.65</v>
      </c>
      <c r="E198" s="6">
        <f t="shared" si="34"/>
        <v>14.287</v>
      </c>
      <c r="F198" s="6">
        <f t="shared" si="37"/>
        <v>5.331</v>
      </c>
      <c r="G198" s="6">
        <f t="shared" si="35"/>
        <v>56.808</v>
      </c>
    </row>
    <row r="199" spans="2:7" ht="12">
      <c r="B199" s="36">
        <f t="shared" si="36"/>
        <v>2.5</v>
      </c>
      <c r="C199" s="6">
        <f t="shared" si="32"/>
        <v>29.022</v>
      </c>
      <c r="D199" s="6">
        <f t="shared" si="33"/>
        <v>7.527</v>
      </c>
      <c r="E199" s="6">
        <f t="shared" si="34"/>
        <v>14.149</v>
      </c>
      <c r="F199" s="6">
        <f t="shared" si="37"/>
        <v>5.267</v>
      </c>
      <c r="G199" s="6">
        <f t="shared" si="35"/>
        <v>55.965</v>
      </c>
    </row>
    <row r="200" spans="2:7" ht="12">
      <c r="B200" s="36">
        <f t="shared" si="36"/>
        <v>2.75</v>
      </c>
      <c r="C200" s="6">
        <f t="shared" si="32"/>
        <v>28.504</v>
      </c>
      <c r="D200" s="6">
        <f t="shared" si="33"/>
        <v>7.404</v>
      </c>
      <c r="E200" s="6">
        <f t="shared" si="34"/>
        <v>14.01</v>
      </c>
      <c r="F200" s="6">
        <f t="shared" si="37"/>
        <v>5.204</v>
      </c>
      <c r="G200" s="6">
        <f t="shared" si="35"/>
        <v>55.122</v>
      </c>
    </row>
    <row r="201" spans="2:7" ht="12">
      <c r="B201" s="36">
        <f t="shared" si="36"/>
        <v>3</v>
      </c>
      <c r="C201" s="6">
        <f t="shared" si="32"/>
        <v>27.986</v>
      </c>
      <c r="D201" s="6">
        <f t="shared" si="33"/>
        <v>7.282</v>
      </c>
      <c r="E201" s="6">
        <f t="shared" si="34"/>
        <v>13.871</v>
      </c>
      <c r="F201" s="6">
        <f t="shared" si="37"/>
        <v>5.14</v>
      </c>
      <c r="G201" s="6">
        <f t="shared" si="35"/>
        <v>54.279</v>
      </c>
    </row>
    <row r="202" spans="2:7" ht="12">
      <c r="B202" s="36">
        <f t="shared" si="36"/>
        <v>3.25</v>
      </c>
      <c r="C202" s="6">
        <f t="shared" si="32"/>
        <v>27.467</v>
      </c>
      <c r="D202" s="6">
        <f t="shared" si="33"/>
        <v>7.161</v>
      </c>
      <c r="E202" s="6">
        <f t="shared" si="34"/>
        <v>13.733</v>
      </c>
      <c r="F202" s="6">
        <f t="shared" si="37"/>
        <v>5.077</v>
      </c>
      <c r="G202" s="6">
        <f t="shared" si="35"/>
        <v>53.438</v>
      </c>
    </row>
    <row r="203" spans="2:7" ht="12">
      <c r="B203" s="36">
        <f t="shared" si="36"/>
        <v>3.5</v>
      </c>
      <c r="C203" s="6">
        <f t="shared" si="32"/>
        <v>26.949</v>
      </c>
      <c r="D203" s="6">
        <f t="shared" si="33"/>
        <v>7.041</v>
      </c>
      <c r="E203" s="6">
        <f t="shared" si="34"/>
        <v>13.594</v>
      </c>
      <c r="F203" s="6">
        <f t="shared" si="37"/>
        <v>5.014</v>
      </c>
      <c r="G203" s="6">
        <f t="shared" si="35"/>
        <v>52.598000000000006</v>
      </c>
    </row>
    <row r="204" spans="2:7" ht="12">
      <c r="B204" s="36">
        <f t="shared" si="36"/>
        <v>3.75</v>
      </c>
      <c r="C204" s="6">
        <f t="shared" si="32"/>
        <v>26.431</v>
      </c>
      <c r="D204" s="6">
        <f t="shared" si="33"/>
        <v>6.922</v>
      </c>
      <c r="E204" s="6">
        <f t="shared" si="34"/>
        <v>13.455</v>
      </c>
      <c r="F204" s="6">
        <f t="shared" si="37"/>
        <v>4.952</v>
      </c>
      <c r="G204" s="6">
        <f t="shared" si="35"/>
        <v>51.76</v>
      </c>
    </row>
    <row r="205" spans="2:7" ht="12">
      <c r="B205" s="36">
        <f t="shared" si="36"/>
        <v>4</v>
      </c>
      <c r="C205" s="6">
        <f t="shared" si="32"/>
        <v>25.913</v>
      </c>
      <c r="D205" s="6">
        <f t="shared" si="33"/>
        <v>6.804</v>
      </c>
      <c r="E205" s="6">
        <f t="shared" si="34"/>
        <v>13.316</v>
      </c>
      <c r="F205" s="6">
        <f t="shared" si="37"/>
        <v>4.889</v>
      </c>
      <c r="G205" s="6">
        <f t="shared" si="35"/>
        <v>50.922000000000004</v>
      </c>
    </row>
    <row r="206" spans="2:7" ht="12">
      <c r="B206" s="37">
        <v>4.125</v>
      </c>
      <c r="C206" s="37">
        <f t="shared" si="32"/>
        <v>25.653</v>
      </c>
      <c r="D206" s="37">
        <f t="shared" si="33"/>
        <v>6.746</v>
      </c>
      <c r="E206" s="6">
        <f t="shared" si="34"/>
        <v>13.247</v>
      </c>
      <c r="F206" s="37">
        <f>ROUND((E206+D206)*$F$186,3)</f>
        <v>4.858</v>
      </c>
      <c r="G206" s="37">
        <f>SUM(C206:F206)</f>
        <v>50.504</v>
      </c>
    </row>
    <row r="207" spans="2:7" ht="12">
      <c r="B207" s="36">
        <f>B205+0.25</f>
        <v>4.25</v>
      </c>
      <c r="C207" s="6">
        <f t="shared" si="32"/>
        <v>25.394</v>
      </c>
      <c r="D207" s="6">
        <f t="shared" si="33"/>
        <v>6.688</v>
      </c>
      <c r="E207" s="6">
        <f t="shared" si="34"/>
        <v>13.178</v>
      </c>
      <c r="F207" s="6">
        <f t="shared" si="37"/>
        <v>4.827</v>
      </c>
      <c r="G207" s="6">
        <f t="shared" si="35"/>
        <v>50.087</v>
      </c>
    </row>
    <row r="208" spans="2:7" ht="12">
      <c r="B208" s="36">
        <f t="shared" si="36"/>
        <v>4.5</v>
      </c>
      <c r="C208" s="6">
        <f t="shared" si="32"/>
        <v>24.876</v>
      </c>
      <c r="D208" s="6">
        <f t="shared" si="33"/>
        <v>6.572</v>
      </c>
      <c r="E208" s="6">
        <f t="shared" si="34"/>
        <v>13.039</v>
      </c>
      <c r="F208" s="6">
        <f t="shared" si="37"/>
        <v>4.765</v>
      </c>
      <c r="G208" s="6">
        <f t="shared" si="35"/>
        <v>49.252</v>
      </c>
    </row>
    <row r="209" spans="2:7" ht="12">
      <c r="B209" s="36">
        <f t="shared" si="36"/>
        <v>4.75</v>
      </c>
      <c r="C209" s="6">
        <f t="shared" si="32"/>
        <v>24.358</v>
      </c>
      <c r="D209" s="6">
        <f t="shared" si="33"/>
        <v>6.457</v>
      </c>
      <c r="E209" s="6">
        <f t="shared" si="34"/>
        <v>12.9</v>
      </c>
      <c r="F209" s="6">
        <f t="shared" si="37"/>
        <v>4.704</v>
      </c>
      <c r="G209" s="6">
        <f t="shared" si="35"/>
        <v>48.419000000000004</v>
      </c>
    </row>
    <row r="210" spans="2:7" ht="12">
      <c r="B210" s="36">
        <f t="shared" si="36"/>
        <v>5</v>
      </c>
      <c r="C210" s="6">
        <f t="shared" si="32"/>
        <v>23.84</v>
      </c>
      <c r="D210" s="6">
        <f t="shared" si="33"/>
        <v>6.343</v>
      </c>
      <c r="E210" s="6">
        <f t="shared" si="34"/>
        <v>12.762</v>
      </c>
      <c r="F210" s="6">
        <f t="shared" si="37"/>
        <v>4.643</v>
      </c>
      <c r="G210" s="6">
        <f t="shared" si="35"/>
        <v>47.588</v>
      </c>
    </row>
    <row r="211" spans="2:7" ht="12">
      <c r="B211" s="36">
        <f t="shared" si="36"/>
        <v>5.25</v>
      </c>
      <c r="C211" s="6">
        <f t="shared" si="32"/>
        <v>23.321</v>
      </c>
      <c r="D211" s="6">
        <f t="shared" si="33"/>
        <v>6.231</v>
      </c>
      <c r="E211" s="6">
        <f t="shared" si="34"/>
        <v>12.623</v>
      </c>
      <c r="F211" s="6">
        <f t="shared" si="37"/>
        <v>4.582</v>
      </c>
      <c r="G211" s="6">
        <f t="shared" si="35"/>
        <v>46.757</v>
      </c>
    </row>
    <row r="212" spans="2:7" ht="12">
      <c r="B212" s="16">
        <f t="shared" si="36"/>
        <v>5.5</v>
      </c>
      <c r="C212" s="39">
        <f t="shared" si="32"/>
        <v>22.803</v>
      </c>
      <c r="D212" s="39">
        <f t="shared" si="33"/>
        <v>6.119</v>
      </c>
      <c r="E212" s="6">
        <f t="shared" si="34"/>
        <v>12.484</v>
      </c>
      <c r="F212" s="39">
        <f t="shared" si="37"/>
        <v>4.521</v>
      </c>
      <c r="G212" s="39">
        <f t="shared" si="35"/>
        <v>45.927</v>
      </c>
    </row>
    <row r="213" spans="2:7" ht="12">
      <c r="B213" s="36">
        <f t="shared" si="36"/>
        <v>5.75</v>
      </c>
      <c r="C213" s="6">
        <f t="shared" si="32"/>
        <v>22.285</v>
      </c>
      <c r="D213" s="6">
        <f t="shared" si="33"/>
        <v>6.008</v>
      </c>
      <c r="E213" s="6">
        <f t="shared" si="34"/>
        <v>12.345</v>
      </c>
      <c r="F213" s="6">
        <f t="shared" si="37"/>
        <v>4.46</v>
      </c>
      <c r="G213" s="6">
        <f t="shared" si="35"/>
        <v>45.098</v>
      </c>
    </row>
    <row r="214" spans="2:7" ht="12">
      <c r="B214" s="36">
        <f t="shared" si="36"/>
        <v>6</v>
      </c>
      <c r="C214" s="6">
        <f t="shared" si="32"/>
        <v>21.767</v>
      </c>
      <c r="D214" s="6">
        <f t="shared" si="33"/>
        <v>5.898</v>
      </c>
      <c r="E214" s="6">
        <f t="shared" si="34"/>
        <v>12.207</v>
      </c>
      <c r="F214" s="6">
        <f t="shared" si="37"/>
        <v>4.4</v>
      </c>
      <c r="G214" s="6">
        <f t="shared" si="35"/>
        <v>44.272</v>
      </c>
    </row>
    <row r="215" spans="2:7" ht="12">
      <c r="B215" s="36">
        <f t="shared" si="36"/>
        <v>6.25</v>
      </c>
      <c r="C215" s="6">
        <f t="shared" si="32"/>
        <v>21.248</v>
      </c>
      <c r="D215" s="6">
        <f t="shared" si="33"/>
        <v>5.79</v>
      </c>
      <c r="E215" s="6">
        <f t="shared" si="34"/>
        <v>12.068</v>
      </c>
      <c r="F215" s="6">
        <f t="shared" si="37"/>
        <v>4.339</v>
      </c>
      <c r="G215" s="6">
        <f t="shared" si="35"/>
        <v>43.445</v>
      </c>
    </row>
    <row r="216" spans="2:7" ht="12">
      <c r="B216" s="36">
        <f t="shared" si="36"/>
        <v>6.5</v>
      </c>
      <c r="C216" s="6">
        <f t="shared" si="32"/>
        <v>20.73</v>
      </c>
      <c r="D216" s="6">
        <f t="shared" si="33"/>
        <v>5.682</v>
      </c>
      <c r="E216" s="6">
        <f t="shared" si="34"/>
        <v>11.929</v>
      </c>
      <c r="F216" s="6">
        <f t="shared" si="37"/>
        <v>4.279</v>
      </c>
      <c r="G216" s="6">
        <f t="shared" si="35"/>
        <v>42.620000000000005</v>
      </c>
    </row>
    <row r="217" spans="2:7" ht="12">
      <c r="B217" s="36">
        <f t="shared" si="36"/>
        <v>6.75</v>
      </c>
      <c r="C217" s="6">
        <f t="shared" si="32"/>
        <v>20.212</v>
      </c>
      <c r="D217" s="6">
        <f t="shared" si="33"/>
        <v>5.575</v>
      </c>
      <c r="E217" s="6">
        <f t="shared" si="34"/>
        <v>11.791</v>
      </c>
      <c r="F217" s="6">
        <f t="shared" si="37"/>
        <v>4.22</v>
      </c>
      <c r="G217" s="6">
        <f t="shared" si="35"/>
        <v>41.798</v>
      </c>
    </row>
    <row r="218" spans="2:7" ht="12">
      <c r="B218" s="36">
        <f t="shared" si="36"/>
        <v>7</v>
      </c>
      <c r="C218" s="6">
        <f t="shared" si="32"/>
        <v>19.694</v>
      </c>
      <c r="D218" s="6">
        <f t="shared" si="33"/>
        <v>5.469</v>
      </c>
      <c r="E218" s="6">
        <f t="shared" si="34"/>
        <v>11.652</v>
      </c>
      <c r="F218" s="6">
        <f t="shared" si="37"/>
        <v>4.16</v>
      </c>
      <c r="G218" s="6">
        <f t="shared" si="35"/>
        <v>40.974999999999994</v>
      </c>
    </row>
    <row r="219" spans="2:7" ht="12">
      <c r="B219" s="36">
        <f t="shared" si="36"/>
        <v>7.25</v>
      </c>
      <c r="C219" s="6">
        <f t="shared" si="32"/>
        <v>19.175</v>
      </c>
      <c r="D219" s="6">
        <f t="shared" si="33"/>
        <v>5.365</v>
      </c>
      <c r="E219" s="6">
        <f t="shared" si="34"/>
        <v>11.513</v>
      </c>
      <c r="F219" s="6">
        <f t="shared" si="37"/>
        <v>4.101</v>
      </c>
      <c r="G219" s="6">
        <f t="shared" si="35"/>
        <v>40.153999999999996</v>
      </c>
    </row>
    <row r="220" spans="2:7" ht="12">
      <c r="B220" s="36">
        <f t="shared" si="36"/>
        <v>7.5</v>
      </c>
      <c r="C220" s="6">
        <f t="shared" si="32"/>
        <v>18.657</v>
      </c>
      <c r="D220" s="6">
        <f t="shared" si="33"/>
        <v>5.261</v>
      </c>
      <c r="E220" s="6">
        <f t="shared" si="34"/>
        <v>11.374</v>
      </c>
      <c r="F220" s="6">
        <f t="shared" si="37"/>
        <v>4.042</v>
      </c>
      <c r="G220" s="6">
        <f t="shared" si="35"/>
        <v>39.334</v>
      </c>
    </row>
    <row r="221" spans="2:7" ht="12">
      <c r="B221" s="36">
        <f t="shared" si="36"/>
        <v>7.75</v>
      </c>
      <c r="C221" s="6">
        <f aca="true" t="shared" si="38" ref="C221:C252">ROUND($F$183*$E$2*(1/2-B221/$E$2),3)</f>
        <v>18.139</v>
      </c>
      <c r="D221" s="6">
        <f aca="true" t="shared" si="39" ref="D221:D256">ROUND(($F$184*$E$2)/2*(1-B221/$E$2)^2,3)</f>
        <v>5.158</v>
      </c>
      <c r="E221" s="6">
        <f aca="true" t="shared" si="40" ref="E221:E256">ROUND($F$185*$E$3*($E$2-B221-$E$3/2)/$E$2,3)</f>
        <v>11.236</v>
      </c>
      <c r="F221" s="6">
        <f t="shared" si="37"/>
        <v>3.984</v>
      </c>
      <c r="G221" s="6">
        <f t="shared" si="35"/>
        <v>38.517</v>
      </c>
    </row>
    <row r="222" spans="2:7" ht="12">
      <c r="B222" s="36">
        <f t="shared" si="36"/>
        <v>8</v>
      </c>
      <c r="C222" s="6">
        <f t="shared" si="38"/>
        <v>17.621</v>
      </c>
      <c r="D222" s="6">
        <f t="shared" si="39"/>
        <v>5.057</v>
      </c>
      <c r="E222" s="6">
        <f t="shared" si="40"/>
        <v>11.097</v>
      </c>
      <c r="F222" s="6">
        <f aca="true" t="shared" si="41" ref="F222:F253">ROUND((E222+D222)*$F$186,3)</f>
        <v>3.925</v>
      </c>
      <c r="G222" s="6">
        <f aca="true" t="shared" si="42" ref="G222:G253">SUM(C222:F222)</f>
        <v>37.699999999999996</v>
      </c>
    </row>
    <row r="223" spans="2:7" ht="12">
      <c r="B223" s="41">
        <f aca="true" t="shared" si="43" ref="B223:B256">B222+0.25</f>
        <v>8.25</v>
      </c>
      <c r="C223" s="37">
        <f t="shared" si="38"/>
        <v>17.102</v>
      </c>
      <c r="D223" s="37">
        <f t="shared" si="39"/>
        <v>4.956</v>
      </c>
      <c r="E223" s="6">
        <f t="shared" si="40"/>
        <v>10.958</v>
      </c>
      <c r="F223" s="37">
        <f t="shared" si="41"/>
        <v>3.867</v>
      </c>
      <c r="G223" s="37">
        <f t="shared" si="42"/>
        <v>36.882999999999996</v>
      </c>
    </row>
    <row r="224" spans="2:7" ht="12">
      <c r="B224" s="36">
        <f t="shared" si="43"/>
        <v>8.5</v>
      </c>
      <c r="C224" s="6">
        <f t="shared" si="38"/>
        <v>16.584</v>
      </c>
      <c r="D224" s="6">
        <f t="shared" si="39"/>
        <v>4.857</v>
      </c>
      <c r="E224" s="6">
        <f t="shared" si="40"/>
        <v>10.82</v>
      </c>
      <c r="F224" s="6">
        <f t="shared" si="41"/>
        <v>3.81</v>
      </c>
      <c r="G224" s="6">
        <f t="shared" si="42"/>
        <v>36.071</v>
      </c>
    </row>
    <row r="225" spans="2:7" ht="12">
      <c r="B225" s="36">
        <f t="shared" si="43"/>
        <v>8.75</v>
      </c>
      <c r="C225" s="6">
        <f t="shared" si="38"/>
        <v>16.066</v>
      </c>
      <c r="D225" s="6">
        <f t="shared" si="39"/>
        <v>4.758</v>
      </c>
      <c r="E225" s="6">
        <f t="shared" si="40"/>
        <v>10.681</v>
      </c>
      <c r="F225" s="6">
        <f t="shared" si="41"/>
        <v>3.752</v>
      </c>
      <c r="G225" s="6">
        <f t="shared" si="42"/>
        <v>35.257</v>
      </c>
    </row>
    <row r="226" spans="2:7" ht="12">
      <c r="B226" s="36">
        <f t="shared" si="43"/>
        <v>9</v>
      </c>
      <c r="C226" s="6">
        <f t="shared" si="38"/>
        <v>15.548</v>
      </c>
      <c r="D226" s="6">
        <f t="shared" si="39"/>
        <v>4.66</v>
      </c>
      <c r="E226" s="6">
        <f t="shared" si="40"/>
        <v>10.542</v>
      </c>
      <c r="F226" s="6">
        <f t="shared" si="41"/>
        <v>3.694</v>
      </c>
      <c r="G226" s="6">
        <f t="shared" si="42"/>
        <v>34.444</v>
      </c>
    </row>
    <row r="227" spans="2:7" ht="12">
      <c r="B227" s="36">
        <f t="shared" si="43"/>
        <v>9.25</v>
      </c>
      <c r="C227" s="6">
        <f t="shared" si="38"/>
        <v>15.029</v>
      </c>
      <c r="D227" s="6">
        <f t="shared" si="39"/>
        <v>4.564</v>
      </c>
      <c r="E227" s="6">
        <f t="shared" si="40"/>
        <v>10.403</v>
      </c>
      <c r="F227" s="6">
        <f t="shared" si="41"/>
        <v>3.637</v>
      </c>
      <c r="G227" s="6">
        <f t="shared" si="42"/>
        <v>33.633</v>
      </c>
    </row>
    <row r="228" spans="2:7" ht="12">
      <c r="B228" s="36">
        <f t="shared" si="43"/>
        <v>9.5</v>
      </c>
      <c r="C228" s="6">
        <f t="shared" si="38"/>
        <v>14.511</v>
      </c>
      <c r="D228" s="6">
        <f t="shared" si="39"/>
        <v>4.468</v>
      </c>
      <c r="E228" s="6">
        <f t="shared" si="40"/>
        <v>10.265</v>
      </c>
      <c r="F228" s="6">
        <f t="shared" si="41"/>
        <v>3.58</v>
      </c>
      <c r="G228" s="6">
        <f t="shared" si="42"/>
        <v>32.824</v>
      </c>
    </row>
    <row r="229" spans="2:7" ht="12">
      <c r="B229" s="36">
        <f t="shared" si="43"/>
        <v>9.75</v>
      </c>
      <c r="C229" s="6">
        <f t="shared" si="38"/>
        <v>13.993</v>
      </c>
      <c r="D229" s="6">
        <f t="shared" si="39"/>
        <v>4.374</v>
      </c>
      <c r="E229" s="6">
        <f t="shared" si="40"/>
        <v>10.126</v>
      </c>
      <c r="F229" s="6">
        <f t="shared" si="41"/>
        <v>3.524</v>
      </c>
      <c r="G229" s="6">
        <f t="shared" si="42"/>
        <v>32.017</v>
      </c>
    </row>
    <row r="230" spans="2:7" ht="12">
      <c r="B230" s="36">
        <f t="shared" si="43"/>
        <v>10</v>
      </c>
      <c r="C230" s="6">
        <f t="shared" si="38"/>
        <v>13.475</v>
      </c>
      <c r="D230" s="6">
        <f t="shared" si="39"/>
        <v>4.28</v>
      </c>
      <c r="E230" s="6">
        <f t="shared" si="40"/>
        <v>9.987</v>
      </c>
      <c r="F230" s="6">
        <f t="shared" si="41"/>
        <v>3.467</v>
      </c>
      <c r="G230" s="6">
        <f t="shared" si="42"/>
        <v>31.208999999999996</v>
      </c>
    </row>
    <row r="231" spans="2:7" ht="12">
      <c r="B231" s="36">
        <f t="shared" si="43"/>
        <v>10.25</v>
      </c>
      <c r="C231" s="6">
        <f t="shared" si="38"/>
        <v>12.956</v>
      </c>
      <c r="D231" s="6">
        <f t="shared" si="39"/>
        <v>4.188</v>
      </c>
      <c r="E231" s="6">
        <f t="shared" si="40"/>
        <v>9.849</v>
      </c>
      <c r="F231" s="6">
        <f t="shared" si="41"/>
        <v>3.411</v>
      </c>
      <c r="G231" s="6">
        <f t="shared" si="42"/>
        <v>30.404</v>
      </c>
    </row>
    <row r="232" spans="2:7" ht="12">
      <c r="B232" s="36">
        <f t="shared" si="43"/>
        <v>10.5</v>
      </c>
      <c r="C232" s="6">
        <f t="shared" si="38"/>
        <v>12.438</v>
      </c>
      <c r="D232" s="6">
        <f t="shared" si="39"/>
        <v>4.096</v>
      </c>
      <c r="E232" s="6">
        <f t="shared" si="40"/>
        <v>9.71</v>
      </c>
      <c r="F232" s="6">
        <f t="shared" si="41"/>
        <v>3.355</v>
      </c>
      <c r="G232" s="6">
        <f t="shared" si="42"/>
        <v>29.599</v>
      </c>
    </row>
    <row r="233" spans="2:7" ht="12">
      <c r="B233" s="36">
        <f t="shared" si="43"/>
        <v>10.75</v>
      </c>
      <c r="C233" s="6">
        <f t="shared" si="38"/>
        <v>11.92</v>
      </c>
      <c r="D233" s="6">
        <f t="shared" si="39"/>
        <v>4.006</v>
      </c>
      <c r="E233" s="6">
        <f t="shared" si="40"/>
        <v>9.571</v>
      </c>
      <c r="F233" s="6">
        <f t="shared" si="41"/>
        <v>3.299</v>
      </c>
      <c r="G233" s="6">
        <f t="shared" si="42"/>
        <v>28.796</v>
      </c>
    </row>
    <row r="234" spans="2:7" ht="12">
      <c r="B234" s="42">
        <f t="shared" si="43"/>
        <v>11</v>
      </c>
      <c r="C234" s="43">
        <f t="shared" si="38"/>
        <v>11.402</v>
      </c>
      <c r="D234" s="43">
        <f t="shared" si="39"/>
        <v>3.916</v>
      </c>
      <c r="E234" s="6">
        <f t="shared" si="40"/>
        <v>9.432</v>
      </c>
      <c r="F234" s="43">
        <f t="shared" si="41"/>
        <v>3.244</v>
      </c>
      <c r="G234" s="43">
        <f t="shared" si="42"/>
        <v>27.994</v>
      </c>
    </row>
    <row r="235" spans="2:7" ht="12">
      <c r="B235" s="36">
        <f t="shared" si="43"/>
        <v>11.25</v>
      </c>
      <c r="C235" s="6">
        <f t="shared" si="38"/>
        <v>10.883</v>
      </c>
      <c r="D235" s="6">
        <f t="shared" si="39"/>
        <v>3.828</v>
      </c>
      <c r="E235" s="6">
        <f t="shared" si="40"/>
        <v>9.294</v>
      </c>
      <c r="F235" s="6">
        <f t="shared" si="41"/>
        <v>3.189</v>
      </c>
      <c r="G235" s="6">
        <f t="shared" si="42"/>
        <v>27.194</v>
      </c>
    </row>
    <row r="236" spans="2:7" ht="12">
      <c r="B236" s="36">
        <f t="shared" si="43"/>
        <v>11.5</v>
      </c>
      <c r="C236" s="6">
        <f t="shared" si="38"/>
        <v>10.365</v>
      </c>
      <c r="D236" s="6">
        <f t="shared" si="39"/>
        <v>3.74</v>
      </c>
      <c r="E236" s="6">
        <f t="shared" si="40"/>
        <v>9.155</v>
      </c>
      <c r="F236" s="6">
        <f t="shared" si="41"/>
        <v>3.133</v>
      </c>
      <c r="G236" s="6">
        <f t="shared" si="42"/>
        <v>26.392999999999997</v>
      </c>
    </row>
    <row r="237" spans="2:7" ht="12">
      <c r="B237" s="36">
        <f t="shared" si="43"/>
        <v>11.75</v>
      </c>
      <c r="C237" s="6">
        <f t="shared" si="38"/>
        <v>9.847</v>
      </c>
      <c r="D237" s="6">
        <f t="shared" si="39"/>
        <v>3.654</v>
      </c>
      <c r="E237" s="6">
        <f t="shared" si="40"/>
        <v>9.016</v>
      </c>
      <c r="F237" s="6">
        <f t="shared" si="41"/>
        <v>3.079</v>
      </c>
      <c r="G237" s="6">
        <f t="shared" si="42"/>
        <v>25.596</v>
      </c>
    </row>
    <row r="238" spans="2:7" ht="12">
      <c r="B238" s="36">
        <f t="shared" si="43"/>
        <v>12</v>
      </c>
      <c r="C238" s="6">
        <f t="shared" si="38"/>
        <v>9.329</v>
      </c>
      <c r="D238" s="6">
        <f t="shared" si="39"/>
        <v>3.568</v>
      </c>
      <c r="E238" s="6">
        <f t="shared" si="40"/>
        <v>8.878</v>
      </c>
      <c r="F238" s="6">
        <f t="shared" si="41"/>
        <v>3.024</v>
      </c>
      <c r="G238" s="6">
        <f t="shared" si="42"/>
        <v>24.799</v>
      </c>
    </row>
    <row r="239" spans="2:7" ht="12">
      <c r="B239" s="36">
        <f t="shared" si="43"/>
        <v>12.25</v>
      </c>
      <c r="C239" s="6">
        <f t="shared" si="38"/>
        <v>8.81</v>
      </c>
      <c r="D239" s="6">
        <f t="shared" si="39"/>
        <v>3.484</v>
      </c>
      <c r="E239" s="6">
        <f t="shared" si="40"/>
        <v>8.739</v>
      </c>
      <c r="F239" s="6">
        <f t="shared" si="41"/>
        <v>2.97</v>
      </c>
      <c r="G239" s="6">
        <f t="shared" si="42"/>
        <v>24.003</v>
      </c>
    </row>
    <row r="240" spans="2:7" ht="12">
      <c r="B240" s="36">
        <f t="shared" si="43"/>
        <v>12.5</v>
      </c>
      <c r="C240" s="6">
        <f t="shared" si="38"/>
        <v>8.292</v>
      </c>
      <c r="D240" s="6">
        <f t="shared" si="39"/>
        <v>3.4</v>
      </c>
      <c r="E240" s="6">
        <f t="shared" si="40"/>
        <v>8.6</v>
      </c>
      <c r="F240" s="6">
        <f t="shared" si="41"/>
        <v>2.916</v>
      </c>
      <c r="G240" s="6">
        <f t="shared" si="42"/>
        <v>23.208000000000002</v>
      </c>
    </row>
    <row r="241" spans="2:7" ht="12">
      <c r="B241" s="36">
        <f t="shared" si="43"/>
        <v>12.75</v>
      </c>
      <c r="C241" s="6">
        <f t="shared" si="38"/>
        <v>7.774</v>
      </c>
      <c r="D241" s="6">
        <f t="shared" si="39"/>
        <v>3.318</v>
      </c>
      <c r="E241" s="6">
        <f t="shared" si="40"/>
        <v>8.461</v>
      </c>
      <c r="F241" s="6">
        <f t="shared" si="41"/>
        <v>2.862</v>
      </c>
      <c r="G241" s="6">
        <f t="shared" si="42"/>
        <v>22.415</v>
      </c>
    </row>
    <row r="242" spans="2:7" ht="12">
      <c r="B242" s="36">
        <f t="shared" si="43"/>
        <v>13</v>
      </c>
      <c r="C242" s="6">
        <f t="shared" si="38"/>
        <v>7.256</v>
      </c>
      <c r="D242" s="6">
        <f t="shared" si="39"/>
        <v>3.236</v>
      </c>
      <c r="E242" s="6">
        <f t="shared" si="40"/>
        <v>8.323</v>
      </c>
      <c r="F242" s="6">
        <f t="shared" si="41"/>
        <v>2.809</v>
      </c>
      <c r="G242" s="6">
        <f t="shared" si="42"/>
        <v>21.624000000000002</v>
      </c>
    </row>
    <row r="243" spans="2:7" ht="12">
      <c r="B243" s="36">
        <f t="shared" si="43"/>
        <v>13.25</v>
      </c>
      <c r="C243" s="6">
        <f t="shared" si="38"/>
        <v>6.737</v>
      </c>
      <c r="D243" s="6">
        <f t="shared" si="39"/>
        <v>3.156</v>
      </c>
      <c r="E243" s="6">
        <f t="shared" si="40"/>
        <v>8.184</v>
      </c>
      <c r="F243" s="6">
        <f t="shared" si="41"/>
        <v>2.756</v>
      </c>
      <c r="G243" s="6">
        <f t="shared" si="42"/>
        <v>20.833</v>
      </c>
    </row>
    <row r="244" spans="2:7" ht="12">
      <c r="B244" s="36">
        <f t="shared" si="43"/>
        <v>13.5</v>
      </c>
      <c r="C244" s="6">
        <f t="shared" si="38"/>
        <v>6.219</v>
      </c>
      <c r="D244" s="6">
        <f t="shared" si="39"/>
        <v>3.077</v>
      </c>
      <c r="E244" s="6">
        <f t="shared" si="40"/>
        <v>8.045</v>
      </c>
      <c r="F244" s="6">
        <f t="shared" si="41"/>
        <v>2.703</v>
      </c>
      <c r="G244" s="6">
        <f t="shared" si="42"/>
        <v>20.044</v>
      </c>
    </row>
    <row r="245" spans="2:7" ht="12">
      <c r="B245" s="36">
        <f t="shared" si="43"/>
        <v>13.75</v>
      </c>
      <c r="C245" s="6">
        <f t="shared" si="38"/>
        <v>5.701</v>
      </c>
      <c r="D245" s="6">
        <f t="shared" si="39"/>
        <v>2.998</v>
      </c>
      <c r="E245" s="6">
        <f t="shared" si="40"/>
        <v>7.907</v>
      </c>
      <c r="F245" s="6">
        <f t="shared" si="41"/>
        <v>2.65</v>
      </c>
      <c r="G245" s="6">
        <f t="shared" si="42"/>
        <v>19.256</v>
      </c>
    </row>
    <row r="246" spans="2:7" ht="12">
      <c r="B246" s="36">
        <f t="shared" si="43"/>
        <v>14</v>
      </c>
      <c r="C246" s="6">
        <f t="shared" si="38"/>
        <v>5.183</v>
      </c>
      <c r="D246" s="6">
        <f t="shared" si="39"/>
        <v>2.921</v>
      </c>
      <c r="E246" s="6">
        <f t="shared" si="40"/>
        <v>7.768</v>
      </c>
      <c r="F246" s="6">
        <f t="shared" si="41"/>
        <v>2.597</v>
      </c>
      <c r="G246" s="6">
        <f t="shared" si="42"/>
        <v>18.469</v>
      </c>
    </row>
    <row r="247" spans="2:7" ht="12">
      <c r="B247" s="36">
        <f t="shared" si="43"/>
        <v>14.25</v>
      </c>
      <c r="C247" s="6">
        <f t="shared" si="38"/>
        <v>4.664</v>
      </c>
      <c r="D247" s="6">
        <f t="shared" si="39"/>
        <v>2.844</v>
      </c>
      <c r="E247" s="6">
        <f t="shared" si="40"/>
        <v>7.629</v>
      </c>
      <c r="F247" s="6">
        <f t="shared" si="41"/>
        <v>2.545</v>
      </c>
      <c r="G247" s="6">
        <f t="shared" si="42"/>
        <v>17.682</v>
      </c>
    </row>
    <row r="248" spans="2:7" ht="12">
      <c r="B248" s="36">
        <f t="shared" si="43"/>
        <v>14.5</v>
      </c>
      <c r="C248" s="6">
        <f t="shared" si="38"/>
        <v>4.146</v>
      </c>
      <c r="D248" s="6">
        <f t="shared" si="39"/>
        <v>2.769</v>
      </c>
      <c r="E248" s="6">
        <f t="shared" si="40"/>
        <v>7.49</v>
      </c>
      <c r="F248" s="6">
        <f t="shared" si="41"/>
        <v>2.493</v>
      </c>
      <c r="G248" s="6">
        <f t="shared" si="42"/>
        <v>16.898</v>
      </c>
    </row>
    <row r="249" spans="2:7" ht="12">
      <c r="B249" s="36">
        <f t="shared" si="43"/>
        <v>14.75</v>
      </c>
      <c r="C249" s="6">
        <f t="shared" si="38"/>
        <v>3.628</v>
      </c>
      <c r="D249" s="6">
        <f t="shared" si="39"/>
        <v>2.695</v>
      </c>
      <c r="E249" s="6">
        <f t="shared" si="40"/>
        <v>7.352</v>
      </c>
      <c r="F249" s="6">
        <f t="shared" si="41"/>
        <v>2.441</v>
      </c>
      <c r="G249" s="6">
        <f t="shared" si="42"/>
        <v>16.116</v>
      </c>
    </row>
    <row r="250" spans="2:7" ht="12">
      <c r="B250" s="36">
        <f t="shared" si="43"/>
        <v>15</v>
      </c>
      <c r="C250" s="6">
        <f t="shared" si="38"/>
        <v>3.11</v>
      </c>
      <c r="D250" s="6">
        <f t="shared" si="39"/>
        <v>2.621</v>
      </c>
      <c r="E250" s="6">
        <f t="shared" si="40"/>
        <v>7.213</v>
      </c>
      <c r="F250" s="6">
        <f t="shared" si="41"/>
        <v>2.39</v>
      </c>
      <c r="G250" s="6">
        <f t="shared" si="42"/>
        <v>15.334</v>
      </c>
    </row>
    <row r="251" spans="2:7" ht="12">
      <c r="B251" s="36">
        <f t="shared" si="43"/>
        <v>15.25</v>
      </c>
      <c r="C251" s="6">
        <f t="shared" si="38"/>
        <v>2.591</v>
      </c>
      <c r="D251" s="6">
        <f t="shared" si="39"/>
        <v>2.549</v>
      </c>
      <c r="E251" s="6">
        <f t="shared" si="40"/>
        <v>7.074</v>
      </c>
      <c r="F251" s="6">
        <f t="shared" si="41"/>
        <v>2.338</v>
      </c>
      <c r="G251" s="6">
        <f t="shared" si="42"/>
        <v>14.552</v>
      </c>
    </row>
    <row r="252" spans="2:7" ht="12">
      <c r="B252" s="36">
        <f t="shared" si="43"/>
        <v>15.5</v>
      </c>
      <c r="C252" s="6">
        <f t="shared" si="38"/>
        <v>2.073</v>
      </c>
      <c r="D252" s="6">
        <f t="shared" si="39"/>
        <v>2.478</v>
      </c>
      <c r="E252" s="6">
        <f t="shared" si="40"/>
        <v>6.936</v>
      </c>
      <c r="F252" s="6">
        <f t="shared" si="41"/>
        <v>2.288</v>
      </c>
      <c r="G252" s="6">
        <f t="shared" si="42"/>
        <v>13.775</v>
      </c>
    </row>
    <row r="253" spans="2:7" ht="12">
      <c r="B253" s="36">
        <f t="shared" si="43"/>
        <v>15.75</v>
      </c>
      <c r="C253" s="6">
        <f>ROUND($F$183*$E$2*(1/2-B253/$E$2),3)</f>
        <v>1.555</v>
      </c>
      <c r="D253" s="6">
        <f t="shared" si="39"/>
        <v>2.408</v>
      </c>
      <c r="E253" s="6">
        <f t="shared" si="40"/>
        <v>6.797</v>
      </c>
      <c r="F253" s="6">
        <f t="shared" si="41"/>
        <v>2.237</v>
      </c>
      <c r="G253" s="6">
        <f t="shared" si="42"/>
        <v>12.997</v>
      </c>
    </row>
    <row r="254" spans="2:7" ht="12">
      <c r="B254" s="36">
        <f t="shared" si="43"/>
        <v>16</v>
      </c>
      <c r="C254" s="6">
        <f>ROUND($F$183*$E$2*(1/2-B254/$E$2),3)</f>
        <v>1.037</v>
      </c>
      <c r="D254" s="6">
        <f t="shared" si="39"/>
        <v>2.338</v>
      </c>
      <c r="E254" s="6">
        <f t="shared" si="40"/>
        <v>6.658</v>
      </c>
      <c r="F254" s="6">
        <f>ROUND((E254+D254)*$F$186,3)</f>
        <v>2.186</v>
      </c>
      <c r="G254" s="6">
        <f>SUM(C254:F254)</f>
        <v>12.219000000000001</v>
      </c>
    </row>
    <row r="255" spans="2:7" ht="12">
      <c r="B255" s="36">
        <f t="shared" si="43"/>
        <v>16.25</v>
      </c>
      <c r="C255" s="6">
        <f>ROUND($F$183*$E$2*(1/2-B255/$E$2),3)</f>
        <v>0.518</v>
      </c>
      <c r="D255" s="6">
        <f t="shared" si="39"/>
        <v>2.27</v>
      </c>
      <c r="E255" s="6">
        <f t="shared" si="40"/>
        <v>6.519</v>
      </c>
      <c r="F255" s="6">
        <f>ROUND((E255+D255)*$F$186,3)</f>
        <v>2.136</v>
      </c>
      <c r="G255" s="6">
        <f>SUM(C255:F255)</f>
        <v>11.443000000000001</v>
      </c>
    </row>
    <row r="256" spans="2:7" ht="12">
      <c r="B256" s="41">
        <f t="shared" si="43"/>
        <v>16.5</v>
      </c>
      <c r="C256" s="37">
        <f>ROUND($F$183*$E$2*(1/2-B256/$E$2),3)</f>
        <v>0</v>
      </c>
      <c r="D256" s="37">
        <f t="shared" si="39"/>
        <v>2.203</v>
      </c>
      <c r="E256" s="6">
        <f t="shared" si="40"/>
        <v>6.381</v>
      </c>
      <c r="F256" s="37">
        <f>ROUND((E256+D256)*$F$186,3)</f>
        <v>2.086</v>
      </c>
      <c r="G256" s="37">
        <f>SUM(C256:F256)</f>
        <v>10.67</v>
      </c>
    </row>
    <row r="258" spans="7:10" ht="12">
      <c r="G258" s="2" t="s">
        <v>1032</v>
      </c>
      <c r="H258" s="2" t="s">
        <v>1497</v>
      </c>
      <c r="I258" s="2" t="s">
        <v>1498</v>
      </c>
      <c r="J258" s="2" t="s">
        <v>1499</v>
      </c>
    </row>
    <row r="259" spans="1:10" ht="12">
      <c r="A259" s="2">
        <v>3</v>
      </c>
      <c r="B259" s="6">
        <f>H260</f>
        <v>4.125</v>
      </c>
      <c r="C259" s="6">
        <f>ROUND($F$264*$E$2*(1/2-B259/$E$2),3)</f>
        <v>30.17</v>
      </c>
      <c r="D259" s="6">
        <f>ROUND(($F$265*$E$2)/2*(1-B259/$E$2)^2,3)</f>
        <v>10.169</v>
      </c>
      <c r="E259" s="6">
        <f>ROUND($F$266*$E$3*($E$2-B259-$E$3/2)/$E$2,3)</f>
        <v>19.968</v>
      </c>
      <c r="F259" s="6">
        <f>ROUND((E259+D259)*$F$267,3)</f>
        <v>7.323</v>
      </c>
      <c r="G259" s="6">
        <f>SUM(C259:F259)</f>
        <v>67.63</v>
      </c>
      <c r="H259" s="2">
        <v>0</v>
      </c>
      <c r="I259" s="2">
        <f>H260</f>
        <v>4.125</v>
      </c>
      <c r="J259" s="2">
        <f>I260</f>
        <v>8.25</v>
      </c>
    </row>
    <row r="260" spans="1:10" ht="12">
      <c r="A260" s="2">
        <v>2</v>
      </c>
      <c r="B260" s="6">
        <f>I260</f>
        <v>8.25</v>
      </c>
      <c r="C260" s="6">
        <f>ROUND($F$264*$E$2*(1/2-B260/$E$2),3)</f>
        <v>20.114</v>
      </c>
      <c r="D260" s="6">
        <f>ROUND(($F$265*$E$2)/2*(1-B260/$E$2)^2,3)</f>
        <v>7.471</v>
      </c>
      <c r="E260" s="6">
        <f>ROUND($F$266*$E$3*($E$2-B260-$E$3/2)/$E$2,3)</f>
        <v>16.518</v>
      </c>
      <c r="F260" s="6">
        <f>ROUND((E260+D260)*$F$267,3)</f>
        <v>5.829</v>
      </c>
      <c r="G260" s="6">
        <f>SUM(C260:F260)</f>
        <v>49.932</v>
      </c>
      <c r="H260" s="2">
        <f>G94</f>
        <v>4.125</v>
      </c>
      <c r="I260" s="2">
        <f>H94</f>
        <v>8.25</v>
      </c>
      <c r="J260" s="2">
        <f>I94</f>
        <v>16.5</v>
      </c>
    </row>
    <row r="261" spans="1:10" ht="12">
      <c r="A261" s="2">
        <v>1</v>
      </c>
      <c r="B261" s="6">
        <f>J260</f>
        <v>16.5</v>
      </c>
      <c r="C261" s="6">
        <f>ROUND($F$264*$E$2*(1/2-B261/$E$2),3)</f>
        <v>0</v>
      </c>
      <c r="D261" s="6">
        <f>ROUND(($F$265*$E$2)/2*(1-B261/$E$2)^2,3)</f>
        <v>3.321</v>
      </c>
      <c r="E261" s="6">
        <f>ROUND($F$266*$E$3*($E$2-B261-$E$3/2)/$E$2,3)</f>
        <v>9.618</v>
      </c>
      <c r="F261" s="6">
        <f>ROUND((E261+D261)*$F$267,3)</f>
        <v>3.144</v>
      </c>
      <c r="G261" s="6">
        <f>SUM(C261:F261)</f>
        <v>16.083</v>
      </c>
      <c r="H261" s="13">
        <v>0</v>
      </c>
      <c r="I261" s="13">
        <v>0</v>
      </c>
      <c r="J261" s="13">
        <v>0</v>
      </c>
    </row>
    <row r="262" spans="8:10" ht="12">
      <c r="H262" s="6">
        <f>G259</f>
        <v>67.63</v>
      </c>
      <c r="I262" s="6">
        <f>G260</f>
        <v>49.932</v>
      </c>
      <c r="J262" s="6">
        <f>G261</f>
        <v>16.083</v>
      </c>
    </row>
    <row r="263" ht="12">
      <c r="A263" s="2" t="s">
        <v>1420</v>
      </c>
    </row>
    <row r="264" spans="2:8" ht="12">
      <c r="B264" s="2" t="s">
        <v>1018</v>
      </c>
      <c r="D264" s="4" t="s">
        <v>1034</v>
      </c>
      <c r="E264" s="4" t="s">
        <v>336</v>
      </c>
      <c r="F264" s="2">
        <f>F101</f>
        <v>2.4379999999999997</v>
      </c>
      <c r="G264" s="2" t="s">
        <v>102</v>
      </c>
      <c r="H264" s="2" t="s">
        <v>1035</v>
      </c>
    </row>
    <row r="265" spans="2:8" ht="12">
      <c r="B265" s="2" t="s">
        <v>1021</v>
      </c>
      <c r="E265" s="4" t="s">
        <v>342</v>
      </c>
      <c r="F265" s="2">
        <f>F102</f>
        <v>0.805</v>
      </c>
      <c r="G265" s="2" t="s">
        <v>109</v>
      </c>
      <c r="H265" s="2" t="s">
        <v>1036</v>
      </c>
    </row>
    <row r="266" spans="2:8" ht="12">
      <c r="B266" s="2" t="s">
        <v>1023</v>
      </c>
      <c r="E266" s="4" t="s">
        <v>349</v>
      </c>
      <c r="F266" s="2">
        <f>'主桁'!H87</f>
        <v>2.76</v>
      </c>
      <c r="G266" s="2" t="s">
        <v>109</v>
      </c>
      <c r="H266" s="2" t="s">
        <v>1037</v>
      </c>
    </row>
    <row r="267" spans="2:8" ht="12">
      <c r="B267" s="2" t="s">
        <v>1418</v>
      </c>
      <c r="E267" s="4" t="s">
        <v>1419</v>
      </c>
      <c r="F267" s="2">
        <f>F18</f>
        <v>0.243</v>
      </c>
      <c r="H267" s="2" t="s">
        <v>1038</v>
      </c>
    </row>
    <row r="269" spans="2:7" ht="12">
      <c r="B269" s="5" t="s">
        <v>1507</v>
      </c>
      <c r="C269" s="5" t="s">
        <v>399</v>
      </c>
      <c r="D269" s="5" t="s">
        <v>1039</v>
      </c>
      <c r="E269" s="5" t="s">
        <v>1040</v>
      </c>
      <c r="F269" s="5" t="s">
        <v>416</v>
      </c>
      <c r="G269" s="2" t="s">
        <v>1032</v>
      </c>
    </row>
    <row r="270" spans="2:7" ht="12">
      <c r="B270" s="2">
        <v>0</v>
      </c>
      <c r="C270" s="6">
        <f aca="true" t="shared" si="44" ref="C270:C301">ROUND($F$264*$E$2*(1/2-B270/$E$2),3)</f>
        <v>40.227</v>
      </c>
      <c r="D270" s="6">
        <f aca="true" t="shared" si="45" ref="D270:D301">ROUND(($F$265*$E$2)/2*(1-B270/$E$2)^2,3)</f>
        <v>13.283</v>
      </c>
      <c r="E270" s="6">
        <f aca="true" t="shared" si="46" ref="E270:E301">ROUND($F$266*$E$3*($E$2-B270-$E$3/2)/$E$2,3)</f>
        <v>23.418</v>
      </c>
      <c r="F270" s="6">
        <f>ROUND((E270+D270)*$F$267,3)</f>
        <v>8.918</v>
      </c>
      <c r="G270" s="6">
        <f>SUM(C270:F270)</f>
        <v>85.846</v>
      </c>
    </row>
    <row r="271" spans="2:7" ht="12">
      <c r="B271" s="36">
        <f aca="true" t="shared" si="47" ref="B271:B303">B270+0.25</f>
        <v>0.25</v>
      </c>
      <c r="C271" s="6">
        <f t="shared" si="44"/>
        <v>39.618</v>
      </c>
      <c r="D271" s="6">
        <f t="shared" si="45"/>
        <v>13.082</v>
      </c>
      <c r="E271" s="6">
        <f t="shared" si="46"/>
        <v>23.209</v>
      </c>
      <c r="F271" s="6">
        <f>ROUND((E271+D271)*$F$267,3)</f>
        <v>8.819</v>
      </c>
      <c r="G271" s="6">
        <f aca="true" t="shared" si="48" ref="G271:G302">SUM(C271:F271)</f>
        <v>84.72800000000001</v>
      </c>
    </row>
    <row r="272" spans="2:7" ht="12">
      <c r="B272" s="36">
        <f t="shared" si="47"/>
        <v>0.5</v>
      </c>
      <c r="C272" s="6">
        <f t="shared" si="44"/>
        <v>39.008</v>
      </c>
      <c r="D272" s="6">
        <f t="shared" si="45"/>
        <v>12.883</v>
      </c>
      <c r="E272" s="6">
        <f t="shared" si="46"/>
        <v>23</v>
      </c>
      <c r="F272" s="6">
        <f aca="true" t="shared" si="49" ref="F272:F302">ROUND((E272+D272)*$F$267,3)</f>
        <v>8.72</v>
      </c>
      <c r="G272" s="6">
        <f t="shared" si="48"/>
        <v>83.611</v>
      </c>
    </row>
    <row r="273" spans="2:7" ht="12">
      <c r="B273" s="36">
        <f t="shared" si="47"/>
        <v>0.75</v>
      </c>
      <c r="C273" s="6">
        <f t="shared" si="44"/>
        <v>38.399</v>
      </c>
      <c r="D273" s="6">
        <f t="shared" si="45"/>
        <v>12.686</v>
      </c>
      <c r="E273" s="6">
        <f t="shared" si="46"/>
        <v>22.791</v>
      </c>
      <c r="F273" s="6">
        <f>ROUND((E273+D273)*$F$267,3)</f>
        <v>8.621</v>
      </c>
      <c r="G273" s="6">
        <f t="shared" si="48"/>
        <v>82.497</v>
      </c>
    </row>
    <row r="274" spans="2:7" ht="12">
      <c r="B274" s="36">
        <f t="shared" si="47"/>
        <v>1</v>
      </c>
      <c r="C274" s="6">
        <f t="shared" si="44"/>
        <v>37.789</v>
      </c>
      <c r="D274" s="6">
        <f t="shared" si="45"/>
        <v>12.49</v>
      </c>
      <c r="E274" s="6">
        <f t="shared" si="46"/>
        <v>22.582</v>
      </c>
      <c r="F274" s="6">
        <f t="shared" si="49"/>
        <v>8.522</v>
      </c>
      <c r="G274" s="6">
        <f t="shared" si="48"/>
        <v>81.38300000000001</v>
      </c>
    </row>
    <row r="275" spans="2:7" ht="12">
      <c r="B275" s="36">
        <f t="shared" si="47"/>
        <v>1.25</v>
      </c>
      <c r="C275" s="6">
        <f t="shared" si="44"/>
        <v>37.18</v>
      </c>
      <c r="D275" s="6">
        <f t="shared" si="45"/>
        <v>12.295</v>
      </c>
      <c r="E275" s="6">
        <f t="shared" si="46"/>
        <v>22.373</v>
      </c>
      <c r="F275" s="6">
        <f t="shared" si="49"/>
        <v>8.424</v>
      </c>
      <c r="G275" s="6">
        <f t="shared" si="48"/>
        <v>80.27199999999999</v>
      </c>
    </row>
    <row r="276" spans="2:7" ht="12">
      <c r="B276" s="36">
        <f t="shared" si="47"/>
        <v>1.5</v>
      </c>
      <c r="C276" s="6">
        <f t="shared" si="44"/>
        <v>36.57</v>
      </c>
      <c r="D276" s="6">
        <f t="shared" si="45"/>
        <v>12.102</v>
      </c>
      <c r="E276" s="6">
        <f t="shared" si="46"/>
        <v>22.164</v>
      </c>
      <c r="F276" s="6">
        <f t="shared" si="49"/>
        <v>8.327</v>
      </c>
      <c r="G276" s="6">
        <f t="shared" si="48"/>
        <v>79.163</v>
      </c>
    </row>
    <row r="277" spans="2:7" ht="12">
      <c r="B277" s="36">
        <f t="shared" si="47"/>
        <v>1.75</v>
      </c>
      <c r="C277" s="6">
        <f t="shared" si="44"/>
        <v>35.961</v>
      </c>
      <c r="D277" s="6">
        <f t="shared" si="45"/>
        <v>11.911</v>
      </c>
      <c r="E277" s="6">
        <f t="shared" si="46"/>
        <v>21.955</v>
      </c>
      <c r="F277" s="6">
        <f t="shared" si="49"/>
        <v>8.229</v>
      </c>
      <c r="G277" s="6">
        <f t="shared" si="48"/>
        <v>78.056</v>
      </c>
    </row>
    <row r="278" spans="2:7" ht="12">
      <c r="B278" s="36">
        <f t="shared" si="47"/>
        <v>2</v>
      </c>
      <c r="C278" s="6">
        <f t="shared" si="44"/>
        <v>35.351</v>
      </c>
      <c r="D278" s="6">
        <f t="shared" si="45"/>
        <v>11.721</v>
      </c>
      <c r="E278" s="6">
        <f t="shared" si="46"/>
        <v>21.745</v>
      </c>
      <c r="F278" s="6">
        <f t="shared" si="49"/>
        <v>8.132</v>
      </c>
      <c r="G278" s="6">
        <f t="shared" si="48"/>
        <v>76.94900000000001</v>
      </c>
    </row>
    <row r="279" spans="2:7" ht="12">
      <c r="B279" s="36">
        <f t="shared" si="47"/>
        <v>2.25</v>
      </c>
      <c r="C279" s="6">
        <f t="shared" si="44"/>
        <v>34.742</v>
      </c>
      <c r="D279" s="6">
        <f t="shared" si="45"/>
        <v>11.533</v>
      </c>
      <c r="E279" s="6">
        <f t="shared" si="46"/>
        <v>21.536</v>
      </c>
      <c r="F279" s="6">
        <f>ROUND((E279+D279)*$F$267,3)</f>
        <v>8.036</v>
      </c>
      <c r="G279" s="6">
        <f>SUM(C279:F279)</f>
        <v>75.84700000000001</v>
      </c>
    </row>
    <row r="280" spans="2:7" ht="12">
      <c r="B280" s="36">
        <f t="shared" si="47"/>
        <v>2.5</v>
      </c>
      <c r="C280" s="6">
        <f t="shared" si="44"/>
        <v>34.132</v>
      </c>
      <c r="D280" s="6">
        <f t="shared" si="45"/>
        <v>11.346</v>
      </c>
      <c r="E280" s="6">
        <f t="shared" si="46"/>
        <v>21.327</v>
      </c>
      <c r="F280" s="6">
        <f t="shared" si="49"/>
        <v>7.94</v>
      </c>
      <c r="G280" s="6">
        <f t="shared" si="48"/>
        <v>74.74499999999999</v>
      </c>
    </row>
    <row r="281" spans="2:7" ht="12">
      <c r="B281" s="36">
        <f t="shared" si="47"/>
        <v>2.75</v>
      </c>
      <c r="C281" s="6">
        <f t="shared" si="44"/>
        <v>33.523</v>
      </c>
      <c r="D281" s="6">
        <f t="shared" si="45"/>
        <v>11.161</v>
      </c>
      <c r="E281" s="6">
        <f t="shared" si="46"/>
        <v>21.118</v>
      </c>
      <c r="F281" s="6">
        <f t="shared" si="49"/>
        <v>7.844</v>
      </c>
      <c r="G281" s="6">
        <f t="shared" si="48"/>
        <v>73.646</v>
      </c>
    </row>
    <row r="282" spans="2:7" ht="12">
      <c r="B282" s="36">
        <f t="shared" si="47"/>
        <v>3</v>
      </c>
      <c r="C282" s="6">
        <f t="shared" si="44"/>
        <v>32.913</v>
      </c>
      <c r="D282" s="6">
        <f t="shared" si="45"/>
        <v>10.977</v>
      </c>
      <c r="E282" s="6">
        <f t="shared" si="46"/>
        <v>20.909</v>
      </c>
      <c r="F282" s="6">
        <f t="shared" si="49"/>
        <v>7.748</v>
      </c>
      <c r="G282" s="6">
        <f t="shared" si="48"/>
        <v>72.54700000000001</v>
      </c>
    </row>
    <row r="283" spans="2:7" ht="12">
      <c r="B283" s="36">
        <f t="shared" si="47"/>
        <v>3.25</v>
      </c>
      <c r="C283" s="6">
        <f t="shared" si="44"/>
        <v>32.304</v>
      </c>
      <c r="D283" s="6">
        <f t="shared" si="45"/>
        <v>10.795</v>
      </c>
      <c r="E283" s="6">
        <f t="shared" si="46"/>
        <v>20.7</v>
      </c>
      <c r="F283" s="6">
        <f t="shared" si="49"/>
        <v>7.653</v>
      </c>
      <c r="G283" s="6">
        <f t="shared" si="48"/>
        <v>71.45200000000001</v>
      </c>
    </row>
    <row r="284" spans="2:7" ht="12">
      <c r="B284" s="36">
        <f t="shared" si="47"/>
        <v>3.5</v>
      </c>
      <c r="C284" s="6">
        <f t="shared" si="44"/>
        <v>31.694</v>
      </c>
      <c r="D284" s="6">
        <f t="shared" si="45"/>
        <v>10.614</v>
      </c>
      <c r="E284" s="6">
        <f t="shared" si="46"/>
        <v>20.491</v>
      </c>
      <c r="F284" s="6">
        <f t="shared" si="49"/>
        <v>7.559</v>
      </c>
      <c r="G284" s="6">
        <f t="shared" si="48"/>
        <v>70.358</v>
      </c>
    </row>
    <row r="285" spans="2:7" ht="12">
      <c r="B285" s="36">
        <f t="shared" si="47"/>
        <v>3.75</v>
      </c>
      <c r="C285" s="6">
        <f t="shared" si="44"/>
        <v>31.085</v>
      </c>
      <c r="D285" s="6">
        <f t="shared" si="45"/>
        <v>10.435</v>
      </c>
      <c r="E285" s="6">
        <f t="shared" si="46"/>
        <v>20.282</v>
      </c>
      <c r="F285" s="6">
        <f t="shared" si="49"/>
        <v>7.464</v>
      </c>
      <c r="G285" s="6">
        <f t="shared" si="48"/>
        <v>69.266</v>
      </c>
    </row>
    <row r="286" spans="2:7" ht="12">
      <c r="B286" s="36">
        <f t="shared" si="47"/>
        <v>4</v>
      </c>
      <c r="C286" s="6">
        <f t="shared" si="44"/>
        <v>30.475</v>
      </c>
      <c r="D286" s="6">
        <f t="shared" si="45"/>
        <v>10.258</v>
      </c>
      <c r="E286" s="6">
        <f t="shared" si="46"/>
        <v>20.073</v>
      </c>
      <c r="F286" s="6">
        <f t="shared" si="49"/>
        <v>7.37</v>
      </c>
      <c r="G286" s="6">
        <f t="shared" si="48"/>
        <v>68.176</v>
      </c>
    </row>
    <row r="287" spans="2:7" ht="12">
      <c r="B287" s="37">
        <v>4.125</v>
      </c>
      <c r="C287" s="37">
        <f t="shared" si="44"/>
        <v>30.17</v>
      </c>
      <c r="D287" s="37">
        <f t="shared" si="45"/>
        <v>10.169</v>
      </c>
      <c r="E287" s="37">
        <f t="shared" si="46"/>
        <v>19.968</v>
      </c>
      <c r="F287" s="37">
        <f>ROUND((E287+D287)*$F$267,3)</f>
        <v>7.323</v>
      </c>
      <c r="G287" s="37">
        <f>SUM(C287:F287)</f>
        <v>67.63</v>
      </c>
    </row>
    <row r="288" spans="2:7" ht="12">
      <c r="B288" s="36">
        <f>B286+0.25</f>
        <v>4.25</v>
      </c>
      <c r="C288" s="6">
        <f t="shared" si="44"/>
        <v>29.866</v>
      </c>
      <c r="D288" s="6">
        <f t="shared" si="45"/>
        <v>10.082</v>
      </c>
      <c r="E288" s="6">
        <f t="shared" si="46"/>
        <v>19.864</v>
      </c>
      <c r="F288" s="6">
        <f t="shared" si="49"/>
        <v>7.277</v>
      </c>
      <c r="G288" s="6">
        <f t="shared" si="48"/>
        <v>67.089</v>
      </c>
    </row>
    <row r="289" spans="2:7" ht="12">
      <c r="B289" s="36">
        <f t="shared" si="47"/>
        <v>4.5</v>
      </c>
      <c r="C289" s="6">
        <f t="shared" si="44"/>
        <v>29.256</v>
      </c>
      <c r="D289" s="6">
        <f t="shared" si="45"/>
        <v>9.907</v>
      </c>
      <c r="E289" s="6">
        <f t="shared" si="46"/>
        <v>19.655</v>
      </c>
      <c r="F289" s="6">
        <f t="shared" si="49"/>
        <v>7.184</v>
      </c>
      <c r="G289" s="6">
        <f t="shared" si="48"/>
        <v>66.002</v>
      </c>
    </row>
    <row r="290" spans="2:7" ht="12">
      <c r="B290" s="36">
        <f t="shared" si="47"/>
        <v>4.75</v>
      </c>
      <c r="C290" s="6">
        <f t="shared" si="44"/>
        <v>28.647</v>
      </c>
      <c r="D290" s="6">
        <f t="shared" si="45"/>
        <v>9.734</v>
      </c>
      <c r="E290" s="6">
        <f t="shared" si="46"/>
        <v>19.445</v>
      </c>
      <c r="F290" s="6">
        <f t="shared" si="49"/>
        <v>7.09</v>
      </c>
      <c r="G290" s="6">
        <f t="shared" si="48"/>
        <v>64.916</v>
      </c>
    </row>
    <row r="291" spans="2:7" ht="12">
      <c r="B291" s="36">
        <f t="shared" si="47"/>
        <v>5</v>
      </c>
      <c r="C291" s="6">
        <f t="shared" si="44"/>
        <v>28.037</v>
      </c>
      <c r="D291" s="6">
        <f t="shared" si="45"/>
        <v>9.562</v>
      </c>
      <c r="E291" s="6">
        <f t="shared" si="46"/>
        <v>19.236</v>
      </c>
      <c r="F291" s="6">
        <f t="shared" si="49"/>
        <v>6.998</v>
      </c>
      <c r="G291" s="6">
        <f t="shared" si="48"/>
        <v>63.83299999999999</v>
      </c>
    </row>
    <row r="292" spans="2:7" ht="12">
      <c r="B292" s="36">
        <f t="shared" si="47"/>
        <v>5.25</v>
      </c>
      <c r="C292" s="6">
        <f t="shared" si="44"/>
        <v>27.428</v>
      </c>
      <c r="D292" s="6">
        <f t="shared" si="45"/>
        <v>9.392</v>
      </c>
      <c r="E292" s="6">
        <f t="shared" si="46"/>
        <v>19.027</v>
      </c>
      <c r="F292" s="6">
        <f t="shared" si="49"/>
        <v>6.906</v>
      </c>
      <c r="G292" s="6">
        <f t="shared" si="48"/>
        <v>62.753</v>
      </c>
    </row>
    <row r="293" spans="2:7" ht="12">
      <c r="B293" s="16">
        <f t="shared" si="47"/>
        <v>5.5</v>
      </c>
      <c r="C293" s="39">
        <f t="shared" si="44"/>
        <v>26.818</v>
      </c>
      <c r="D293" s="39">
        <f t="shared" si="45"/>
        <v>9.224</v>
      </c>
      <c r="E293" s="39">
        <f t="shared" si="46"/>
        <v>18.818</v>
      </c>
      <c r="F293" s="39">
        <f t="shared" si="49"/>
        <v>6.814</v>
      </c>
      <c r="G293" s="39">
        <f t="shared" si="48"/>
        <v>61.674</v>
      </c>
    </row>
    <row r="294" spans="2:7" ht="12">
      <c r="B294" s="36">
        <f t="shared" si="47"/>
        <v>5.75</v>
      </c>
      <c r="C294" s="6">
        <f t="shared" si="44"/>
        <v>26.209</v>
      </c>
      <c r="D294" s="6">
        <f t="shared" si="45"/>
        <v>9.057</v>
      </c>
      <c r="E294" s="6">
        <f t="shared" si="46"/>
        <v>18.609</v>
      </c>
      <c r="F294" s="6">
        <f t="shared" si="49"/>
        <v>6.723</v>
      </c>
      <c r="G294" s="6">
        <f t="shared" si="48"/>
        <v>60.598</v>
      </c>
    </row>
    <row r="295" spans="2:7" ht="12">
      <c r="B295" s="36">
        <f t="shared" si="47"/>
        <v>6</v>
      </c>
      <c r="C295" s="6">
        <f t="shared" si="44"/>
        <v>25.599</v>
      </c>
      <c r="D295" s="6">
        <f t="shared" si="45"/>
        <v>8.892</v>
      </c>
      <c r="E295" s="6">
        <f t="shared" si="46"/>
        <v>18.4</v>
      </c>
      <c r="F295" s="6">
        <f t="shared" si="49"/>
        <v>6.632</v>
      </c>
      <c r="G295" s="6">
        <f t="shared" si="48"/>
        <v>59.522999999999996</v>
      </c>
    </row>
    <row r="296" spans="2:7" ht="12">
      <c r="B296" s="36">
        <f t="shared" si="47"/>
        <v>6.25</v>
      </c>
      <c r="C296" s="6">
        <f t="shared" si="44"/>
        <v>24.99</v>
      </c>
      <c r="D296" s="6">
        <f t="shared" si="45"/>
        <v>8.728</v>
      </c>
      <c r="E296" s="6">
        <f t="shared" si="46"/>
        <v>18.191</v>
      </c>
      <c r="F296" s="6">
        <f t="shared" si="49"/>
        <v>6.541</v>
      </c>
      <c r="G296" s="6">
        <f t="shared" si="48"/>
        <v>58.44999999999999</v>
      </c>
    </row>
    <row r="297" spans="2:7" ht="12">
      <c r="B297" s="36">
        <f t="shared" si="47"/>
        <v>6.5</v>
      </c>
      <c r="C297" s="6">
        <f t="shared" si="44"/>
        <v>24.38</v>
      </c>
      <c r="D297" s="6">
        <f t="shared" si="45"/>
        <v>8.565</v>
      </c>
      <c r="E297" s="6">
        <f t="shared" si="46"/>
        <v>17.982</v>
      </c>
      <c r="F297" s="6">
        <f t="shared" si="49"/>
        <v>6.451</v>
      </c>
      <c r="G297" s="6">
        <f t="shared" si="48"/>
        <v>57.378</v>
      </c>
    </row>
    <row r="298" spans="2:7" ht="12">
      <c r="B298" s="36">
        <f t="shared" si="47"/>
        <v>6.75</v>
      </c>
      <c r="C298" s="6">
        <f t="shared" si="44"/>
        <v>23.771</v>
      </c>
      <c r="D298" s="6">
        <f t="shared" si="45"/>
        <v>8.404</v>
      </c>
      <c r="E298" s="6">
        <f t="shared" si="46"/>
        <v>17.773</v>
      </c>
      <c r="F298" s="6">
        <f t="shared" si="49"/>
        <v>6.361</v>
      </c>
      <c r="G298" s="6">
        <f t="shared" si="48"/>
        <v>56.30899999999999</v>
      </c>
    </row>
    <row r="299" spans="2:7" ht="12">
      <c r="B299" s="36">
        <f t="shared" si="47"/>
        <v>7</v>
      </c>
      <c r="C299" s="6">
        <f t="shared" si="44"/>
        <v>23.161</v>
      </c>
      <c r="D299" s="6">
        <f t="shared" si="45"/>
        <v>8.245</v>
      </c>
      <c r="E299" s="6">
        <f t="shared" si="46"/>
        <v>17.564</v>
      </c>
      <c r="F299" s="6">
        <f t="shared" si="49"/>
        <v>6.272</v>
      </c>
      <c r="G299" s="6">
        <f t="shared" si="48"/>
        <v>55.242</v>
      </c>
    </row>
    <row r="300" spans="2:7" ht="12">
      <c r="B300" s="36">
        <f t="shared" si="47"/>
        <v>7.25</v>
      </c>
      <c r="C300" s="6">
        <f t="shared" si="44"/>
        <v>22.552</v>
      </c>
      <c r="D300" s="6">
        <f t="shared" si="45"/>
        <v>8.087</v>
      </c>
      <c r="E300" s="6">
        <f t="shared" si="46"/>
        <v>17.355</v>
      </c>
      <c r="F300" s="6">
        <f t="shared" si="49"/>
        <v>6.182</v>
      </c>
      <c r="G300" s="6">
        <f t="shared" si="48"/>
        <v>54.176</v>
      </c>
    </row>
    <row r="301" spans="2:7" ht="12">
      <c r="B301" s="36">
        <f t="shared" si="47"/>
        <v>7.5</v>
      </c>
      <c r="C301" s="6">
        <f t="shared" si="44"/>
        <v>21.942</v>
      </c>
      <c r="D301" s="6">
        <f t="shared" si="45"/>
        <v>7.931</v>
      </c>
      <c r="E301" s="6">
        <f t="shared" si="46"/>
        <v>17.145</v>
      </c>
      <c r="F301" s="6">
        <f t="shared" si="49"/>
        <v>6.093</v>
      </c>
      <c r="G301" s="6">
        <f t="shared" si="48"/>
        <v>53.111000000000004</v>
      </c>
    </row>
    <row r="302" spans="2:7" ht="12">
      <c r="B302" s="36">
        <f t="shared" si="47"/>
        <v>7.75</v>
      </c>
      <c r="C302" s="6">
        <f aca="true" t="shared" si="50" ref="C302:C333">ROUND($F$264*$E$2*(1/2-B302/$E$2),3)</f>
        <v>21.333</v>
      </c>
      <c r="D302" s="6">
        <f aca="true" t="shared" si="51" ref="D302:D337">ROUND(($F$265*$E$2)/2*(1-B302/$E$2)^2,3)</f>
        <v>7.776</v>
      </c>
      <c r="E302" s="6">
        <f aca="true" t="shared" si="52" ref="E302:E337">ROUND($F$266*$E$3*($E$2-B302-$E$3/2)/$E$2,3)</f>
        <v>16.936</v>
      </c>
      <c r="F302" s="6">
        <f t="shared" si="49"/>
        <v>6.005</v>
      </c>
      <c r="G302" s="6">
        <f t="shared" si="48"/>
        <v>52.050000000000004</v>
      </c>
    </row>
    <row r="303" spans="2:7" ht="12">
      <c r="B303" s="36">
        <f t="shared" si="47"/>
        <v>8</v>
      </c>
      <c r="C303" s="6">
        <f t="shared" si="50"/>
        <v>20.723</v>
      </c>
      <c r="D303" s="6">
        <f t="shared" si="51"/>
        <v>7.623</v>
      </c>
      <c r="E303" s="6">
        <f t="shared" si="52"/>
        <v>16.727</v>
      </c>
      <c r="F303" s="6">
        <f aca="true" t="shared" si="53" ref="F303:F334">ROUND((E303+D303)*$F$267,3)</f>
        <v>5.917</v>
      </c>
      <c r="G303" s="6">
        <f aca="true" t="shared" si="54" ref="G303:G334">SUM(C303:F303)</f>
        <v>50.99</v>
      </c>
    </row>
    <row r="304" spans="2:7" ht="12">
      <c r="B304" s="41">
        <f aca="true" t="shared" si="55" ref="B304:B334">B303+0.25</f>
        <v>8.25</v>
      </c>
      <c r="C304" s="37">
        <f t="shared" si="50"/>
        <v>20.114</v>
      </c>
      <c r="D304" s="37">
        <f t="shared" si="51"/>
        <v>7.471</v>
      </c>
      <c r="E304" s="37">
        <f t="shared" si="52"/>
        <v>16.518</v>
      </c>
      <c r="F304" s="37">
        <f t="shared" si="53"/>
        <v>5.829</v>
      </c>
      <c r="G304" s="37">
        <f t="shared" si="54"/>
        <v>49.932</v>
      </c>
    </row>
    <row r="305" spans="2:7" ht="12">
      <c r="B305" s="36">
        <f t="shared" si="55"/>
        <v>8.5</v>
      </c>
      <c r="C305" s="6">
        <f t="shared" si="50"/>
        <v>19.504</v>
      </c>
      <c r="D305" s="6">
        <f t="shared" si="51"/>
        <v>7.321</v>
      </c>
      <c r="E305" s="6">
        <f t="shared" si="52"/>
        <v>16.309</v>
      </c>
      <c r="F305" s="6">
        <f t="shared" si="53"/>
        <v>5.742</v>
      </c>
      <c r="G305" s="6">
        <f t="shared" si="54"/>
        <v>48.876</v>
      </c>
    </row>
    <row r="306" spans="2:7" ht="12">
      <c r="B306" s="36">
        <f t="shared" si="55"/>
        <v>8.75</v>
      </c>
      <c r="C306" s="6">
        <f t="shared" si="50"/>
        <v>18.895</v>
      </c>
      <c r="D306" s="6">
        <f t="shared" si="51"/>
        <v>7.173</v>
      </c>
      <c r="E306" s="6">
        <f t="shared" si="52"/>
        <v>16.1</v>
      </c>
      <c r="F306" s="6">
        <f t="shared" si="53"/>
        <v>5.655</v>
      </c>
      <c r="G306" s="6">
        <f t="shared" si="54"/>
        <v>47.823</v>
      </c>
    </row>
    <row r="307" spans="2:7" ht="12">
      <c r="B307" s="36">
        <f t="shared" si="55"/>
        <v>9</v>
      </c>
      <c r="C307" s="6">
        <f t="shared" si="50"/>
        <v>18.285</v>
      </c>
      <c r="D307" s="6">
        <f t="shared" si="51"/>
        <v>7.025</v>
      </c>
      <c r="E307" s="6">
        <f t="shared" si="52"/>
        <v>15.891</v>
      </c>
      <c r="F307" s="6">
        <f t="shared" si="53"/>
        <v>5.569</v>
      </c>
      <c r="G307" s="6">
        <f t="shared" si="54"/>
        <v>46.77</v>
      </c>
    </row>
    <row r="308" spans="2:7" ht="12">
      <c r="B308" s="36">
        <f t="shared" si="55"/>
        <v>9.25</v>
      </c>
      <c r="C308" s="6">
        <f t="shared" si="50"/>
        <v>17.676</v>
      </c>
      <c r="D308" s="6">
        <f t="shared" si="51"/>
        <v>6.88</v>
      </c>
      <c r="E308" s="6">
        <f t="shared" si="52"/>
        <v>15.682</v>
      </c>
      <c r="F308" s="6">
        <f t="shared" si="53"/>
        <v>5.483</v>
      </c>
      <c r="G308" s="6">
        <f t="shared" si="54"/>
        <v>45.721</v>
      </c>
    </row>
    <row r="309" spans="2:7" ht="12">
      <c r="B309" s="36">
        <f t="shared" si="55"/>
        <v>9.5</v>
      </c>
      <c r="C309" s="6">
        <f t="shared" si="50"/>
        <v>17.066</v>
      </c>
      <c r="D309" s="6">
        <f t="shared" si="51"/>
        <v>6.736</v>
      </c>
      <c r="E309" s="6">
        <f t="shared" si="52"/>
        <v>15.473</v>
      </c>
      <c r="F309" s="6">
        <f t="shared" si="53"/>
        <v>5.397</v>
      </c>
      <c r="G309" s="6">
        <f t="shared" si="54"/>
        <v>44.672</v>
      </c>
    </row>
    <row r="310" spans="2:7" ht="12">
      <c r="B310" s="36">
        <f t="shared" si="55"/>
        <v>9.75</v>
      </c>
      <c r="C310" s="6">
        <f t="shared" si="50"/>
        <v>16.457</v>
      </c>
      <c r="D310" s="6">
        <f t="shared" si="51"/>
        <v>6.593</v>
      </c>
      <c r="E310" s="6">
        <f t="shared" si="52"/>
        <v>15.264</v>
      </c>
      <c r="F310" s="6">
        <f t="shared" si="53"/>
        <v>5.311</v>
      </c>
      <c r="G310" s="6">
        <f t="shared" si="54"/>
        <v>43.625</v>
      </c>
    </row>
    <row r="311" spans="2:7" ht="12">
      <c r="B311" s="36">
        <f t="shared" si="55"/>
        <v>10</v>
      </c>
      <c r="C311" s="6">
        <f t="shared" si="50"/>
        <v>15.847</v>
      </c>
      <c r="D311" s="6">
        <f t="shared" si="51"/>
        <v>6.452</v>
      </c>
      <c r="E311" s="6">
        <f t="shared" si="52"/>
        <v>15.055</v>
      </c>
      <c r="F311" s="6">
        <f t="shared" si="53"/>
        <v>5.226</v>
      </c>
      <c r="G311" s="6">
        <f t="shared" si="54"/>
        <v>42.58</v>
      </c>
    </row>
    <row r="312" spans="2:7" ht="12">
      <c r="B312" s="36">
        <f t="shared" si="55"/>
        <v>10.25</v>
      </c>
      <c r="C312" s="6">
        <f t="shared" si="50"/>
        <v>15.238</v>
      </c>
      <c r="D312" s="6">
        <f t="shared" si="51"/>
        <v>6.313</v>
      </c>
      <c r="E312" s="6">
        <f t="shared" si="52"/>
        <v>14.845</v>
      </c>
      <c r="F312" s="6">
        <f t="shared" si="53"/>
        <v>5.141</v>
      </c>
      <c r="G312" s="6">
        <f t="shared" si="54"/>
        <v>41.537</v>
      </c>
    </row>
    <row r="313" spans="2:7" ht="12">
      <c r="B313" s="36">
        <f t="shared" si="55"/>
        <v>10.5</v>
      </c>
      <c r="C313" s="6">
        <f t="shared" si="50"/>
        <v>14.628</v>
      </c>
      <c r="D313" s="6">
        <f t="shared" si="51"/>
        <v>6.175</v>
      </c>
      <c r="E313" s="6">
        <f t="shared" si="52"/>
        <v>14.636</v>
      </c>
      <c r="F313" s="6">
        <f t="shared" si="53"/>
        <v>5.057</v>
      </c>
      <c r="G313" s="6">
        <f t="shared" si="54"/>
        <v>40.496</v>
      </c>
    </row>
    <row r="314" spans="2:7" ht="12">
      <c r="B314" s="36">
        <f t="shared" si="55"/>
        <v>10.75</v>
      </c>
      <c r="C314" s="6">
        <f t="shared" si="50"/>
        <v>14.019</v>
      </c>
      <c r="D314" s="6">
        <f t="shared" si="51"/>
        <v>6.038</v>
      </c>
      <c r="E314" s="6">
        <f t="shared" si="52"/>
        <v>14.427</v>
      </c>
      <c r="F314" s="6">
        <f t="shared" si="53"/>
        <v>4.973</v>
      </c>
      <c r="G314" s="6">
        <f t="shared" si="54"/>
        <v>39.457</v>
      </c>
    </row>
    <row r="315" spans="2:7" ht="12">
      <c r="B315" s="42">
        <f t="shared" si="55"/>
        <v>11</v>
      </c>
      <c r="C315" s="43">
        <f t="shared" si="50"/>
        <v>13.409</v>
      </c>
      <c r="D315" s="43">
        <f t="shared" si="51"/>
        <v>5.903</v>
      </c>
      <c r="E315" s="43">
        <f t="shared" si="52"/>
        <v>14.218</v>
      </c>
      <c r="F315" s="43">
        <f t="shared" si="53"/>
        <v>4.889</v>
      </c>
      <c r="G315" s="43">
        <f t="shared" si="54"/>
        <v>38.419000000000004</v>
      </c>
    </row>
    <row r="316" spans="2:7" ht="12">
      <c r="B316" s="36">
        <f t="shared" si="55"/>
        <v>11.25</v>
      </c>
      <c r="C316" s="6">
        <f t="shared" si="50"/>
        <v>12.8</v>
      </c>
      <c r="D316" s="6">
        <f t="shared" si="51"/>
        <v>5.77</v>
      </c>
      <c r="E316" s="6">
        <f t="shared" si="52"/>
        <v>14.009</v>
      </c>
      <c r="F316" s="6">
        <f t="shared" si="53"/>
        <v>4.806</v>
      </c>
      <c r="G316" s="6">
        <f t="shared" si="54"/>
        <v>37.385</v>
      </c>
    </row>
    <row r="317" spans="2:7" ht="12">
      <c r="B317" s="36">
        <f t="shared" si="55"/>
        <v>11.5</v>
      </c>
      <c r="C317" s="6">
        <f t="shared" si="50"/>
        <v>12.19</v>
      </c>
      <c r="D317" s="6">
        <f t="shared" si="51"/>
        <v>5.638</v>
      </c>
      <c r="E317" s="6">
        <f t="shared" si="52"/>
        <v>13.8</v>
      </c>
      <c r="F317" s="6">
        <f t="shared" si="53"/>
        <v>4.723</v>
      </c>
      <c r="G317" s="6">
        <f t="shared" si="54"/>
        <v>36.351</v>
      </c>
    </row>
    <row r="318" spans="2:7" ht="12">
      <c r="B318" s="36">
        <f t="shared" si="55"/>
        <v>11.75</v>
      </c>
      <c r="C318" s="6">
        <f t="shared" si="50"/>
        <v>11.581</v>
      </c>
      <c r="D318" s="6">
        <f t="shared" si="51"/>
        <v>5.508</v>
      </c>
      <c r="E318" s="6">
        <f t="shared" si="52"/>
        <v>13.591</v>
      </c>
      <c r="F318" s="6">
        <f t="shared" si="53"/>
        <v>4.641</v>
      </c>
      <c r="G318" s="6">
        <f t="shared" si="54"/>
        <v>35.321</v>
      </c>
    </row>
    <row r="319" spans="2:7" ht="12">
      <c r="B319" s="36">
        <f t="shared" si="55"/>
        <v>12</v>
      </c>
      <c r="C319" s="6">
        <f t="shared" si="50"/>
        <v>10.971</v>
      </c>
      <c r="D319" s="6">
        <f t="shared" si="51"/>
        <v>5.379</v>
      </c>
      <c r="E319" s="6">
        <f t="shared" si="52"/>
        <v>13.382</v>
      </c>
      <c r="F319" s="6">
        <f t="shared" si="53"/>
        <v>4.559</v>
      </c>
      <c r="G319" s="6">
        <f t="shared" si="54"/>
        <v>34.291</v>
      </c>
    </row>
    <row r="320" spans="2:7" ht="12">
      <c r="B320" s="36">
        <f t="shared" si="55"/>
        <v>12.25</v>
      </c>
      <c r="C320" s="6">
        <f t="shared" si="50"/>
        <v>10.362</v>
      </c>
      <c r="D320" s="6">
        <f t="shared" si="51"/>
        <v>5.252</v>
      </c>
      <c r="E320" s="6">
        <f t="shared" si="52"/>
        <v>13.173</v>
      </c>
      <c r="F320" s="6">
        <f t="shared" si="53"/>
        <v>4.477</v>
      </c>
      <c r="G320" s="6">
        <f t="shared" si="54"/>
        <v>33.263999999999996</v>
      </c>
    </row>
    <row r="321" spans="2:7" ht="12">
      <c r="B321" s="36">
        <f t="shared" si="55"/>
        <v>12.5</v>
      </c>
      <c r="C321" s="6">
        <f t="shared" si="50"/>
        <v>9.752</v>
      </c>
      <c r="D321" s="6">
        <f t="shared" si="51"/>
        <v>5.126</v>
      </c>
      <c r="E321" s="6">
        <f t="shared" si="52"/>
        <v>12.964</v>
      </c>
      <c r="F321" s="6">
        <f t="shared" si="53"/>
        <v>4.396</v>
      </c>
      <c r="G321" s="6">
        <f t="shared" si="54"/>
        <v>32.238</v>
      </c>
    </row>
    <row r="322" spans="2:7" ht="12">
      <c r="B322" s="36">
        <f t="shared" si="55"/>
        <v>12.75</v>
      </c>
      <c r="C322" s="6">
        <f t="shared" si="50"/>
        <v>9.143</v>
      </c>
      <c r="D322" s="6">
        <f t="shared" si="51"/>
        <v>5.002</v>
      </c>
      <c r="E322" s="6">
        <f t="shared" si="52"/>
        <v>12.755</v>
      </c>
      <c r="F322" s="6">
        <f t="shared" si="53"/>
        <v>4.315</v>
      </c>
      <c r="G322" s="6">
        <f t="shared" si="54"/>
        <v>31.215</v>
      </c>
    </row>
    <row r="323" spans="2:7" ht="12">
      <c r="B323" s="36">
        <f t="shared" si="55"/>
        <v>13</v>
      </c>
      <c r="C323" s="6">
        <f t="shared" si="50"/>
        <v>8.533</v>
      </c>
      <c r="D323" s="6">
        <f t="shared" si="51"/>
        <v>4.879</v>
      </c>
      <c r="E323" s="6">
        <f t="shared" si="52"/>
        <v>12.545</v>
      </c>
      <c r="F323" s="6">
        <f t="shared" si="53"/>
        <v>4.234</v>
      </c>
      <c r="G323" s="6">
        <f t="shared" si="54"/>
        <v>30.191000000000003</v>
      </c>
    </row>
    <row r="324" spans="2:7" ht="12">
      <c r="B324" s="36">
        <f t="shared" si="55"/>
        <v>13.25</v>
      </c>
      <c r="C324" s="6">
        <f t="shared" si="50"/>
        <v>7.924</v>
      </c>
      <c r="D324" s="6">
        <f t="shared" si="51"/>
        <v>4.758</v>
      </c>
      <c r="E324" s="6">
        <f t="shared" si="52"/>
        <v>12.336</v>
      </c>
      <c r="F324" s="6">
        <f t="shared" si="53"/>
        <v>4.154</v>
      </c>
      <c r="G324" s="6">
        <f t="shared" si="54"/>
        <v>29.172</v>
      </c>
    </row>
    <row r="325" spans="2:7" ht="12">
      <c r="B325" s="36">
        <f t="shared" si="55"/>
        <v>13.5</v>
      </c>
      <c r="C325" s="6">
        <f t="shared" si="50"/>
        <v>7.314</v>
      </c>
      <c r="D325" s="6">
        <f t="shared" si="51"/>
        <v>4.638</v>
      </c>
      <c r="E325" s="6">
        <f t="shared" si="52"/>
        <v>12.127</v>
      </c>
      <c r="F325" s="6">
        <f t="shared" si="53"/>
        <v>4.074</v>
      </c>
      <c r="G325" s="6">
        <f t="shared" si="54"/>
        <v>28.153</v>
      </c>
    </row>
    <row r="326" spans="2:7" ht="12">
      <c r="B326" s="36">
        <f t="shared" si="55"/>
        <v>13.75</v>
      </c>
      <c r="C326" s="6">
        <f t="shared" si="50"/>
        <v>6.705</v>
      </c>
      <c r="D326" s="6">
        <f t="shared" si="51"/>
        <v>4.52</v>
      </c>
      <c r="E326" s="6">
        <f t="shared" si="52"/>
        <v>11.918</v>
      </c>
      <c r="F326" s="6">
        <f t="shared" si="53"/>
        <v>3.994</v>
      </c>
      <c r="G326" s="6">
        <f t="shared" si="54"/>
        <v>27.137</v>
      </c>
    </row>
    <row r="327" spans="2:7" ht="12">
      <c r="B327" s="36">
        <f t="shared" si="55"/>
        <v>14</v>
      </c>
      <c r="C327" s="6">
        <f t="shared" si="50"/>
        <v>6.095</v>
      </c>
      <c r="D327" s="6">
        <f t="shared" si="51"/>
        <v>4.403</v>
      </c>
      <c r="E327" s="6">
        <f t="shared" si="52"/>
        <v>11.709</v>
      </c>
      <c r="F327" s="6">
        <f t="shared" si="53"/>
        <v>3.915</v>
      </c>
      <c r="G327" s="6">
        <f t="shared" si="54"/>
        <v>26.122</v>
      </c>
    </row>
    <row r="328" spans="2:7" ht="12">
      <c r="B328" s="36">
        <f t="shared" si="55"/>
        <v>14.25</v>
      </c>
      <c r="C328" s="6">
        <f t="shared" si="50"/>
        <v>5.486</v>
      </c>
      <c r="D328" s="6">
        <f t="shared" si="51"/>
        <v>4.288</v>
      </c>
      <c r="E328" s="6">
        <f t="shared" si="52"/>
        <v>11.5</v>
      </c>
      <c r="F328" s="6">
        <f t="shared" si="53"/>
        <v>3.836</v>
      </c>
      <c r="G328" s="6">
        <f t="shared" si="54"/>
        <v>25.11</v>
      </c>
    </row>
    <row r="329" spans="2:7" ht="12">
      <c r="B329" s="36">
        <f t="shared" si="55"/>
        <v>14.5</v>
      </c>
      <c r="C329" s="6">
        <f t="shared" si="50"/>
        <v>4.876</v>
      </c>
      <c r="D329" s="6">
        <f t="shared" si="51"/>
        <v>4.174</v>
      </c>
      <c r="E329" s="6">
        <f t="shared" si="52"/>
        <v>11.291</v>
      </c>
      <c r="F329" s="6">
        <f t="shared" si="53"/>
        <v>3.758</v>
      </c>
      <c r="G329" s="6">
        <f t="shared" si="54"/>
        <v>24.099</v>
      </c>
    </row>
    <row r="330" spans="2:7" ht="12">
      <c r="B330" s="36">
        <f t="shared" si="55"/>
        <v>14.75</v>
      </c>
      <c r="C330" s="6">
        <f t="shared" si="50"/>
        <v>4.267</v>
      </c>
      <c r="D330" s="6">
        <f t="shared" si="51"/>
        <v>4.062</v>
      </c>
      <c r="E330" s="6">
        <f t="shared" si="52"/>
        <v>11.082</v>
      </c>
      <c r="F330" s="6">
        <f t="shared" si="53"/>
        <v>3.68</v>
      </c>
      <c r="G330" s="6">
        <f t="shared" si="54"/>
        <v>23.091</v>
      </c>
    </row>
    <row r="331" spans="2:7" ht="12">
      <c r="B331" s="36">
        <f t="shared" si="55"/>
        <v>15</v>
      </c>
      <c r="C331" s="6">
        <f t="shared" si="50"/>
        <v>3.657</v>
      </c>
      <c r="D331" s="6">
        <f t="shared" si="51"/>
        <v>3.952</v>
      </c>
      <c r="E331" s="6">
        <f t="shared" si="52"/>
        <v>10.873</v>
      </c>
      <c r="F331" s="6">
        <f t="shared" si="53"/>
        <v>3.602</v>
      </c>
      <c r="G331" s="6">
        <f t="shared" si="54"/>
        <v>22.084</v>
      </c>
    </row>
    <row r="332" spans="2:7" ht="12">
      <c r="B332" s="36">
        <f t="shared" si="55"/>
        <v>15.25</v>
      </c>
      <c r="C332" s="6">
        <f t="shared" si="50"/>
        <v>3.048</v>
      </c>
      <c r="D332" s="6">
        <f t="shared" si="51"/>
        <v>3.843</v>
      </c>
      <c r="E332" s="6">
        <f t="shared" si="52"/>
        <v>10.664</v>
      </c>
      <c r="F332" s="6">
        <f t="shared" si="53"/>
        <v>3.525</v>
      </c>
      <c r="G332" s="6">
        <f t="shared" si="54"/>
        <v>21.08</v>
      </c>
    </row>
    <row r="333" spans="2:7" ht="12">
      <c r="B333" s="36">
        <f t="shared" si="55"/>
        <v>15.5</v>
      </c>
      <c r="C333" s="6">
        <f t="shared" si="50"/>
        <v>2.438</v>
      </c>
      <c r="D333" s="6">
        <f t="shared" si="51"/>
        <v>3.735</v>
      </c>
      <c r="E333" s="6">
        <f t="shared" si="52"/>
        <v>10.455</v>
      </c>
      <c r="F333" s="6">
        <f t="shared" si="53"/>
        <v>3.448</v>
      </c>
      <c r="G333" s="6">
        <f t="shared" si="54"/>
        <v>20.076</v>
      </c>
    </row>
    <row r="334" spans="2:7" ht="12">
      <c r="B334" s="36">
        <f t="shared" si="55"/>
        <v>15.75</v>
      </c>
      <c r="C334" s="6">
        <f>ROUND($F$264*$E$2*(1/2-B334/$E$2),3)</f>
        <v>1.829</v>
      </c>
      <c r="D334" s="6">
        <f t="shared" si="51"/>
        <v>3.629</v>
      </c>
      <c r="E334" s="6">
        <f t="shared" si="52"/>
        <v>10.245</v>
      </c>
      <c r="F334" s="6">
        <f t="shared" si="53"/>
        <v>3.371</v>
      </c>
      <c r="G334" s="6">
        <f t="shared" si="54"/>
        <v>19.073999999999998</v>
      </c>
    </row>
    <row r="335" spans="2:7" ht="12">
      <c r="B335" s="36">
        <f>B334+0.25</f>
        <v>16</v>
      </c>
      <c r="C335" s="6">
        <f>ROUND($F$264*$E$2*(1/2-B335/$E$2),3)</f>
        <v>1.219</v>
      </c>
      <c r="D335" s="6">
        <f t="shared" si="51"/>
        <v>3.525</v>
      </c>
      <c r="E335" s="6">
        <f t="shared" si="52"/>
        <v>10.036</v>
      </c>
      <c r="F335" s="6">
        <f>ROUND((E335+D335)*$F$267,3)</f>
        <v>3.295</v>
      </c>
      <c r="G335" s="6">
        <f>SUM(C335:F335)</f>
        <v>18.075</v>
      </c>
    </row>
    <row r="336" spans="2:7" ht="12">
      <c r="B336" s="36">
        <f>B335+0.25</f>
        <v>16.25</v>
      </c>
      <c r="C336" s="6">
        <f>ROUND($F$264*$E$2*(1/2-B336/$E$2),3)</f>
        <v>0.609</v>
      </c>
      <c r="D336" s="6">
        <f t="shared" si="51"/>
        <v>3.422</v>
      </c>
      <c r="E336" s="6">
        <f t="shared" si="52"/>
        <v>9.827</v>
      </c>
      <c r="F336" s="6">
        <f>ROUND((E336+D336)*$F$267,3)</f>
        <v>3.22</v>
      </c>
      <c r="G336" s="6">
        <f>SUM(C336:F336)</f>
        <v>17.078</v>
      </c>
    </row>
    <row r="337" spans="2:7" ht="12">
      <c r="B337" s="41">
        <f>B336+0.25</f>
        <v>16.5</v>
      </c>
      <c r="C337" s="37">
        <f>ROUND($F$264*$E$2*(1/2-B337/$E$2),3)</f>
        <v>0</v>
      </c>
      <c r="D337" s="37">
        <f t="shared" si="51"/>
        <v>3.321</v>
      </c>
      <c r="E337" s="37">
        <f t="shared" si="52"/>
        <v>9.618</v>
      </c>
      <c r="F337" s="37">
        <f>ROUND((E337+D337)*$F$267,3)</f>
        <v>3.144</v>
      </c>
      <c r="G337" s="37">
        <f>SUM(C337:F337)</f>
        <v>16.083</v>
      </c>
    </row>
  </sheetData>
  <sheetProtection sheet="1" objects="1" scenarios="1"/>
  <printOptions horizontalCentered="1"/>
  <pageMargins left="0.5905511811023623" right="0.5905511811023623" top="0.7874015748031497" bottom="0.5905511811023623" header="0.5118110236220472" footer="0.5118110236220472"/>
  <pageSetup horizontalDpi="600" verticalDpi="600" orientation="portrait" paperSize="9" scale="74" r:id="rId1"/>
  <rowBreaks count="3" manualBreakCount="3">
    <brk id="89" max="9" man="1"/>
    <brk id="175" max="255" man="1"/>
    <brk id="256" max="9" man="1"/>
  </rowBreaks>
</worksheet>
</file>

<file path=xl/worksheets/sheet2.xml><?xml version="1.0" encoding="utf-8"?>
<worksheet xmlns="http://schemas.openxmlformats.org/spreadsheetml/2006/main" xmlns:r="http://schemas.openxmlformats.org/officeDocument/2006/relationships">
  <sheetPr codeName="Sheet2"/>
  <dimension ref="A1:P593"/>
  <sheetViews>
    <sheetView zoomScale="80" zoomScaleNormal="80" zoomScalePageLayoutView="0" workbookViewId="0" topLeftCell="A537">
      <selection activeCell="J551" sqref="J551"/>
    </sheetView>
  </sheetViews>
  <sheetFormatPr defaultColWidth="9.00390625" defaultRowHeight="13.5"/>
  <cols>
    <col min="1" max="1" width="15.50390625" style="2" customWidth="1"/>
    <col min="2" max="2" width="9.25390625" style="2" customWidth="1"/>
    <col min="3" max="3" width="7.875" style="2" customWidth="1"/>
    <col min="4" max="5" width="11.125" style="2" customWidth="1"/>
    <col min="6" max="6" width="9.50390625" style="2" customWidth="1"/>
    <col min="7" max="7" width="11.875" style="2" customWidth="1"/>
    <col min="8" max="8" width="7.75390625" style="2" customWidth="1"/>
    <col min="9" max="9" width="7.50390625" style="2" customWidth="1"/>
    <col min="10" max="10" width="7.75390625" style="2" customWidth="1"/>
    <col min="11" max="11" width="7.125" style="2" customWidth="1"/>
    <col min="12" max="16384" width="9.00390625" style="2" customWidth="1"/>
  </cols>
  <sheetData>
    <row r="1" spans="1:12" ht="12">
      <c r="A1" s="2" t="s">
        <v>1296</v>
      </c>
      <c r="L1" s="2">
        <v>9</v>
      </c>
    </row>
    <row r="2" ht="12">
      <c r="L2" s="2">
        <v>10</v>
      </c>
    </row>
    <row r="3" spans="1:12" ht="12">
      <c r="A3" s="2" t="s">
        <v>274</v>
      </c>
      <c r="L3" s="2">
        <v>11</v>
      </c>
    </row>
    <row r="4" spans="1:12" ht="12">
      <c r="A4" s="2" t="s">
        <v>275</v>
      </c>
      <c r="L4" s="2">
        <v>12</v>
      </c>
    </row>
    <row r="5" spans="1:12" ht="12">
      <c r="A5" s="12" t="s">
        <v>276</v>
      </c>
      <c r="L5" s="2">
        <v>13</v>
      </c>
    </row>
    <row r="6" spans="1:12" ht="12">
      <c r="A6" s="2" t="s">
        <v>277</v>
      </c>
      <c r="L6" s="2">
        <v>14</v>
      </c>
    </row>
    <row r="7" spans="1:12" ht="12">
      <c r="A7" s="2" t="s">
        <v>278</v>
      </c>
      <c r="D7" s="64">
        <v>2.3</v>
      </c>
      <c r="E7" s="2" t="s">
        <v>105</v>
      </c>
      <c r="L7" s="2">
        <v>15</v>
      </c>
    </row>
    <row r="8" spans="1:12" ht="12">
      <c r="A8" s="2" t="s">
        <v>279</v>
      </c>
      <c r="D8" s="64">
        <v>2.5</v>
      </c>
      <c r="E8" s="2" t="s">
        <v>280</v>
      </c>
      <c r="L8" s="2">
        <v>16</v>
      </c>
    </row>
    <row r="9" ht="12">
      <c r="L9" s="2">
        <v>18</v>
      </c>
    </row>
    <row r="10" spans="1:12" ht="12">
      <c r="A10" s="2" t="s">
        <v>281</v>
      </c>
      <c r="B10" s="2">
        <f>'床版'!F13</f>
        <v>0.07</v>
      </c>
      <c r="C10" s="5" t="s">
        <v>98</v>
      </c>
      <c r="D10" s="2">
        <f>D7</f>
        <v>2.3</v>
      </c>
      <c r="E10" s="5" t="s">
        <v>98</v>
      </c>
      <c r="F10" s="2">
        <f>B27</f>
        <v>1.526</v>
      </c>
      <c r="L10" s="2">
        <v>19</v>
      </c>
    </row>
    <row r="11" spans="1:12" ht="12">
      <c r="A11" s="2">
        <f>ROUND(B10*D10*F10,3)</f>
        <v>0.246</v>
      </c>
      <c r="B11" s="2" t="s">
        <v>100</v>
      </c>
      <c r="C11" s="5"/>
      <c r="E11" s="5"/>
      <c r="L11" s="2">
        <v>20</v>
      </c>
    </row>
    <row r="12" spans="1:12" ht="12">
      <c r="A12" s="2" t="s">
        <v>282</v>
      </c>
      <c r="B12" s="2">
        <f>'床版'!A60</f>
        <v>0.23</v>
      </c>
      <c r="C12" s="5" t="s">
        <v>283</v>
      </c>
      <c r="D12" s="2">
        <f>D8</f>
        <v>2.5</v>
      </c>
      <c r="E12" s="5" t="s">
        <v>283</v>
      </c>
      <c r="F12" s="2">
        <f>B26+B27</f>
        <v>1.891</v>
      </c>
      <c r="L12" s="2">
        <v>22</v>
      </c>
    </row>
    <row r="13" spans="1:12" ht="12">
      <c r="A13" s="2">
        <f>ROUND(B12*D12*F12,3)</f>
        <v>1.087</v>
      </c>
      <c r="B13" s="2" t="s">
        <v>284</v>
      </c>
      <c r="C13" s="5"/>
      <c r="E13" s="5"/>
      <c r="L13" s="2">
        <v>25</v>
      </c>
    </row>
    <row r="14" spans="1:12" ht="12">
      <c r="A14" s="2" t="s">
        <v>285</v>
      </c>
      <c r="B14" s="2">
        <v>0.5</v>
      </c>
      <c r="C14" s="5" t="s">
        <v>283</v>
      </c>
      <c r="D14" s="2">
        <f>'床版'!A47/1000</f>
        <v>0.034</v>
      </c>
      <c r="E14" s="5" t="s">
        <v>283</v>
      </c>
      <c r="F14" s="2">
        <f>'床版'!F23</f>
        <v>0.6500000000000001</v>
      </c>
      <c r="G14" s="5" t="s">
        <v>283</v>
      </c>
      <c r="H14" s="12">
        <f>D8</f>
        <v>2.5</v>
      </c>
      <c r="I14" s="5" t="s">
        <v>283</v>
      </c>
      <c r="J14" s="10">
        <f>D21</f>
        <v>1.094</v>
      </c>
      <c r="L14" s="2">
        <v>28</v>
      </c>
    </row>
    <row r="15" spans="1:12" s="10" customFormat="1" ht="12">
      <c r="A15" s="10">
        <f>ROUND(B14*D14*F14*H14*J14,3)</f>
        <v>0.03</v>
      </c>
      <c r="B15" s="2" t="s">
        <v>284</v>
      </c>
      <c r="C15" s="11"/>
      <c r="E15" s="11"/>
      <c r="G15" s="11"/>
      <c r="I15" s="11"/>
      <c r="L15" s="10">
        <v>32</v>
      </c>
    </row>
    <row r="16" spans="1:12" ht="12">
      <c r="A16" s="2" t="s">
        <v>286</v>
      </c>
      <c r="B16" s="2">
        <v>0.3</v>
      </c>
      <c r="C16" s="5" t="s">
        <v>111</v>
      </c>
      <c r="D16" s="2">
        <v>0.32</v>
      </c>
      <c r="E16" s="5" t="s">
        <v>111</v>
      </c>
      <c r="F16" s="2">
        <v>2.5</v>
      </c>
      <c r="G16" s="5" t="s">
        <v>111</v>
      </c>
      <c r="H16" s="2">
        <v>1.197</v>
      </c>
      <c r="L16" s="2">
        <v>36</v>
      </c>
    </row>
    <row r="17" spans="1:12" ht="12">
      <c r="A17" s="2">
        <f>ROUND(B16*D16*F16*H16,3)</f>
        <v>0.287</v>
      </c>
      <c r="B17" s="2" t="s">
        <v>114</v>
      </c>
      <c r="C17" s="5"/>
      <c r="E17" s="5"/>
      <c r="G17" s="5"/>
      <c r="L17" s="2">
        <v>38</v>
      </c>
    </row>
    <row r="18" spans="1:12" ht="12">
      <c r="A18" s="2" t="s">
        <v>287</v>
      </c>
      <c r="B18" s="2" t="s">
        <v>107</v>
      </c>
      <c r="L18" s="2">
        <v>40</v>
      </c>
    </row>
    <row r="19" spans="1:12" ht="12">
      <c r="A19" s="12">
        <f>'床版'!C69</f>
        <v>0.04</v>
      </c>
      <c r="B19" s="2" t="s">
        <v>109</v>
      </c>
      <c r="C19" s="2">
        <f>B20*2</f>
        <v>4.6</v>
      </c>
      <c r="D19" s="2">
        <f>C19*1000</f>
        <v>4600</v>
      </c>
      <c r="L19" s="2">
        <v>45</v>
      </c>
    </row>
    <row r="20" spans="1:12" ht="12">
      <c r="A20" s="2" t="s">
        <v>1041</v>
      </c>
      <c r="B20" s="2">
        <f>'床版'!C12</f>
        <v>2.3</v>
      </c>
      <c r="C20" s="2" t="s">
        <v>1042</v>
      </c>
      <c r="D20" s="12">
        <v>1</v>
      </c>
      <c r="L20" s="2">
        <v>50</v>
      </c>
    </row>
    <row r="21" spans="1:4" ht="12">
      <c r="A21" s="2" t="s">
        <v>1045</v>
      </c>
      <c r="B21" s="6">
        <f>B20+E28/3</f>
        <v>2.5166666666666666</v>
      </c>
      <c r="C21" s="2" t="s">
        <v>1046</v>
      </c>
      <c r="D21" s="2">
        <f>ROUND(B21*$D$20/$B$20,3)</f>
        <v>1.094</v>
      </c>
    </row>
    <row r="22" spans="1:4" ht="12">
      <c r="A22" s="2" t="s">
        <v>1047</v>
      </c>
      <c r="B22" s="2">
        <f>'主桁'!E28-'床版'!I19+B20</f>
        <v>2.65</v>
      </c>
      <c r="C22" s="2" t="s">
        <v>1049</v>
      </c>
      <c r="D22" s="2">
        <f>ROUND(B22*$D$20/$B$20,3)</f>
        <v>1.152</v>
      </c>
    </row>
    <row r="23" spans="1:4" ht="12">
      <c r="A23" s="2" t="s">
        <v>1050</v>
      </c>
      <c r="B23" s="2">
        <f>'床版'!F23-'床版'!H19+B20</f>
        <v>2.8</v>
      </c>
      <c r="C23" s="2" t="s">
        <v>1048</v>
      </c>
      <c r="D23" s="2">
        <f>ROUND(B23*$D$20/$B$20,3)</f>
        <v>1.217</v>
      </c>
    </row>
    <row r="24" spans="1:6" ht="12">
      <c r="A24" s="2" t="s">
        <v>1051</v>
      </c>
      <c r="B24" s="2">
        <f>E28+B20</f>
        <v>2.95</v>
      </c>
      <c r="C24" s="2" t="s">
        <v>1052</v>
      </c>
      <c r="D24" s="2">
        <f>ROUND(B24*$D$20/$B$20,3)</f>
        <v>1.283</v>
      </c>
      <c r="E24" s="2">
        <f>'床版'!F19</f>
        <v>0.0475</v>
      </c>
      <c r="F24" s="2" t="s">
        <v>1053</v>
      </c>
    </row>
    <row r="25" spans="1:6" ht="12">
      <c r="A25" s="2" t="s">
        <v>219</v>
      </c>
      <c r="B25" s="12">
        <f>'床版'!C6</f>
        <v>33</v>
      </c>
      <c r="C25" s="2" t="s">
        <v>220</v>
      </c>
      <c r="D25" s="2" t="s">
        <v>288</v>
      </c>
      <c r="E25" s="2">
        <f>'床版'!F20</f>
        <v>0.30250000000000016</v>
      </c>
      <c r="F25" s="2" t="s">
        <v>61</v>
      </c>
    </row>
    <row r="26" spans="1:6" ht="12">
      <c r="A26" s="2" t="s">
        <v>289</v>
      </c>
      <c r="B26" s="10">
        <f>ROUND((D24+D22)*(B24-B22)/2,3)</f>
        <v>0.365</v>
      </c>
      <c r="C26" s="2" t="s">
        <v>1452</v>
      </c>
      <c r="E26" s="2">
        <f>'床版'!F21</f>
        <v>0.4525000000000001</v>
      </c>
      <c r="F26" s="2" t="s">
        <v>64</v>
      </c>
    </row>
    <row r="27" spans="1:9" ht="12">
      <c r="A27" s="2" t="s">
        <v>290</v>
      </c>
      <c r="B27" s="10">
        <f>ROUND(D22*B22/2,3)</f>
        <v>1.526</v>
      </c>
      <c r="C27" s="2" t="s">
        <v>1452</v>
      </c>
      <c r="E27" s="2">
        <f>'床版'!F22</f>
        <v>0.6025000000000001</v>
      </c>
      <c r="F27" s="2" t="s">
        <v>66</v>
      </c>
      <c r="H27" s="2" t="s">
        <v>1456</v>
      </c>
      <c r="I27" s="2" t="s">
        <v>1455</v>
      </c>
    </row>
    <row r="28" spans="1:10" ht="12">
      <c r="A28" s="2" t="s">
        <v>291</v>
      </c>
      <c r="B28" s="10">
        <f>B20*2/2</f>
        <v>2.3</v>
      </c>
      <c r="C28" s="2" t="s">
        <v>1452</v>
      </c>
      <c r="E28" s="2">
        <f>'床版'!F23</f>
        <v>0.6500000000000001</v>
      </c>
      <c r="F28" s="2" t="s">
        <v>68</v>
      </c>
      <c r="G28" s="2">
        <f>E28*1000</f>
        <v>650.0000000000001</v>
      </c>
      <c r="H28" s="2" t="s">
        <v>1264</v>
      </c>
      <c r="I28" s="2">
        <f>ROUND(G28/3,0)</f>
        <v>217</v>
      </c>
      <c r="J28" s="2" t="s">
        <v>939</v>
      </c>
    </row>
    <row r="29" ht="12">
      <c r="A29" s="2" t="s">
        <v>292</v>
      </c>
    </row>
    <row r="30" ht="12">
      <c r="A30" s="2" t="s">
        <v>293</v>
      </c>
    </row>
    <row r="31" spans="1:2" ht="12">
      <c r="A31" s="2">
        <f>ROUND((6.56*B25+34.4)*10^(-3)*B27,3)</f>
        <v>0.383</v>
      </c>
      <c r="B31" s="2" t="s">
        <v>294</v>
      </c>
    </row>
    <row r="33" spans="1:3" ht="12">
      <c r="A33" s="2" t="s">
        <v>295</v>
      </c>
      <c r="B33" s="2">
        <f>A11+A13+A15+A17+A19+A31</f>
        <v>2.073</v>
      </c>
      <c r="C33" s="2" t="s">
        <v>294</v>
      </c>
    </row>
    <row r="35" ht="12">
      <c r="A35" s="2" t="s">
        <v>296</v>
      </c>
    </row>
    <row r="36" spans="1:5" ht="12">
      <c r="A36" s="2" t="s">
        <v>617</v>
      </c>
      <c r="B36" s="5" t="s">
        <v>1266</v>
      </c>
      <c r="C36" s="2">
        <f>D14</f>
        <v>0.034</v>
      </c>
      <c r="D36" s="5" t="s">
        <v>1266</v>
      </c>
      <c r="E36" s="2">
        <f>E28</f>
        <v>0.6500000000000001</v>
      </c>
    </row>
    <row r="37" spans="1:2" ht="12">
      <c r="A37" s="2">
        <f>D14/2*E28</f>
        <v>0.011050000000000003</v>
      </c>
      <c r="B37" s="2" t="s">
        <v>614</v>
      </c>
    </row>
    <row r="38" ht="12">
      <c r="A38" s="2" t="s">
        <v>297</v>
      </c>
    </row>
    <row r="39" ht="12">
      <c r="A39" s="2" t="s">
        <v>1309</v>
      </c>
    </row>
    <row r="40" spans="1:5" ht="12">
      <c r="A40" s="2" t="s">
        <v>298</v>
      </c>
      <c r="E40" s="2" t="s">
        <v>299</v>
      </c>
    </row>
    <row r="41" spans="1:8" ht="12">
      <c r="A41" s="2" t="s">
        <v>300</v>
      </c>
      <c r="B41" s="2">
        <v>1</v>
      </c>
      <c r="C41" s="2" t="s">
        <v>301</v>
      </c>
      <c r="D41" s="5" t="s">
        <v>302</v>
      </c>
      <c r="E41" s="2">
        <f>B27</f>
        <v>1.526</v>
      </c>
      <c r="F41" s="2" t="s">
        <v>303</v>
      </c>
      <c r="G41" s="2">
        <f>ROUND(B41*E41,3)</f>
        <v>1.526</v>
      </c>
      <c r="H41" s="2" t="s">
        <v>304</v>
      </c>
    </row>
    <row r="42" spans="1:4" ht="12">
      <c r="A42" s="2" t="s">
        <v>305</v>
      </c>
      <c r="D42" s="5"/>
    </row>
    <row r="43" spans="1:8" ht="12">
      <c r="A43" s="2" t="s">
        <v>306</v>
      </c>
      <c r="B43" s="2">
        <v>1.2</v>
      </c>
      <c r="C43" s="2" t="s">
        <v>307</v>
      </c>
      <c r="D43" s="5" t="s">
        <v>841</v>
      </c>
      <c r="E43" s="2">
        <f>B27</f>
        <v>1.526</v>
      </c>
      <c r="F43" s="2" t="s">
        <v>308</v>
      </c>
      <c r="G43" s="2">
        <f>ROUND(B43*E43,3)</f>
        <v>1.831</v>
      </c>
      <c r="H43" s="2" t="s">
        <v>309</v>
      </c>
    </row>
    <row r="44" ht="12">
      <c r="D44" s="5"/>
    </row>
    <row r="45" spans="1:8" ht="12">
      <c r="A45" s="2" t="s">
        <v>310</v>
      </c>
      <c r="B45" s="2">
        <v>0.35</v>
      </c>
      <c r="C45" s="2" t="s">
        <v>307</v>
      </c>
      <c r="D45" s="5" t="s">
        <v>841</v>
      </c>
      <c r="E45" s="2">
        <f>B27</f>
        <v>1.526</v>
      </c>
      <c r="F45" s="2" t="s">
        <v>308</v>
      </c>
      <c r="G45" s="2">
        <f>ROUND(B45*E45,3)</f>
        <v>0.534</v>
      </c>
      <c r="H45" s="2" t="s">
        <v>309</v>
      </c>
    </row>
    <row r="47" ht="12">
      <c r="A47" s="2" t="s">
        <v>311</v>
      </c>
    </row>
    <row r="48" ht="12">
      <c r="A48" s="2" t="s">
        <v>312</v>
      </c>
    </row>
    <row r="49" ht="12">
      <c r="A49" s="2">
        <f>ROUND(20/(50+B25),3)</f>
        <v>0.241</v>
      </c>
    </row>
    <row r="51" ht="12">
      <c r="A51" s="12" t="s">
        <v>313</v>
      </c>
    </row>
    <row r="52" ht="12">
      <c r="A52" s="10"/>
    </row>
    <row r="53" ht="12">
      <c r="A53" s="2" t="s">
        <v>314</v>
      </c>
    </row>
    <row r="54" spans="1:5" ht="12">
      <c r="A54" s="2" t="s">
        <v>278</v>
      </c>
      <c r="D54" s="2">
        <v>2.3</v>
      </c>
      <c r="E54" s="2" t="s">
        <v>105</v>
      </c>
    </row>
    <row r="55" spans="1:5" ht="12">
      <c r="A55" s="2" t="s">
        <v>279</v>
      </c>
      <c r="D55" s="2">
        <v>2.5</v>
      </c>
      <c r="E55" s="2" t="s">
        <v>280</v>
      </c>
    </row>
    <row r="57" spans="1:6" ht="12">
      <c r="A57" s="2" t="s">
        <v>281</v>
      </c>
      <c r="B57" s="2">
        <f>'床版'!F13</f>
        <v>0.07</v>
      </c>
      <c r="C57" s="5" t="s">
        <v>98</v>
      </c>
      <c r="D57" s="2">
        <f>D54</f>
        <v>2.3</v>
      </c>
      <c r="E57" s="5" t="s">
        <v>98</v>
      </c>
      <c r="F57" s="2">
        <f>'床版'!C12</f>
        <v>2.3</v>
      </c>
    </row>
    <row r="58" spans="1:5" ht="12">
      <c r="A58" s="2">
        <f>ROUND(B57*D57*F57,3)</f>
        <v>0.37</v>
      </c>
      <c r="B58" s="2" t="s">
        <v>100</v>
      </c>
      <c r="C58" s="5"/>
      <c r="E58" s="5"/>
    </row>
    <row r="59" spans="1:6" ht="12">
      <c r="A59" s="2" t="s">
        <v>282</v>
      </c>
      <c r="B59" s="2">
        <f>'床版'!A60</f>
        <v>0.23</v>
      </c>
      <c r="C59" s="5" t="s">
        <v>283</v>
      </c>
      <c r="D59" s="2">
        <f>D55</f>
        <v>2.5</v>
      </c>
      <c r="E59" s="5" t="s">
        <v>283</v>
      </c>
      <c r="F59" s="2">
        <f>'床版'!C12</f>
        <v>2.3</v>
      </c>
    </row>
    <row r="60" spans="1:5" ht="12">
      <c r="A60" s="2">
        <f>ROUND(B59*D59*F59,3)</f>
        <v>1.323</v>
      </c>
      <c r="B60" s="2" t="s">
        <v>284</v>
      </c>
      <c r="C60" s="5"/>
      <c r="E60" s="5"/>
    </row>
    <row r="61" spans="1:10" ht="12">
      <c r="A61" s="2" t="s">
        <v>285</v>
      </c>
      <c r="B61" s="2">
        <v>0.5</v>
      </c>
      <c r="C61" s="5" t="s">
        <v>283</v>
      </c>
      <c r="D61" s="2">
        <f>A75/1000+A78/1000</f>
        <v>1.6800000000000002</v>
      </c>
      <c r="E61" s="5" t="s">
        <v>283</v>
      </c>
      <c r="F61" s="2">
        <f>A76/1000</f>
        <v>0.08</v>
      </c>
      <c r="G61" s="5" t="s">
        <v>283</v>
      </c>
      <c r="H61" s="12">
        <f>D55</f>
        <v>2.5</v>
      </c>
      <c r="I61" s="11"/>
      <c r="J61" s="10"/>
    </row>
    <row r="62" spans="1:10" ht="12">
      <c r="A62" s="8">
        <f>ROUND(B61*D61*F61*H61,3)</f>
        <v>0.168</v>
      </c>
      <c r="B62" s="2" t="s">
        <v>284</v>
      </c>
      <c r="C62" s="11"/>
      <c r="D62" s="10">
        <f>A75/1000</f>
        <v>0.6</v>
      </c>
      <c r="E62" s="11"/>
      <c r="F62" s="10"/>
      <c r="G62" s="11"/>
      <c r="H62" s="10"/>
      <c r="I62" s="11"/>
      <c r="J62" s="10"/>
    </row>
    <row r="63" ht="12">
      <c r="D63" s="2">
        <f>A78/1000</f>
        <v>1.08</v>
      </c>
    </row>
    <row r="64" spans="1:3" ht="12">
      <c r="A64" s="2" t="s">
        <v>315</v>
      </c>
      <c r="B64" s="12">
        <f>B25</f>
        <v>33</v>
      </c>
      <c r="C64" s="2" t="s">
        <v>316</v>
      </c>
    </row>
    <row r="65" spans="1:3" ht="12">
      <c r="A65" s="2" t="s">
        <v>317</v>
      </c>
      <c r="B65" s="12">
        <f>B26</f>
        <v>0.365</v>
      </c>
      <c r="C65" s="10"/>
    </row>
    <row r="66" spans="1:3" ht="12">
      <c r="A66" s="2" t="s">
        <v>318</v>
      </c>
      <c r="B66" s="12">
        <f>B27</f>
        <v>1.526</v>
      </c>
      <c r="C66" s="10"/>
    </row>
    <row r="67" spans="1:3" ht="12">
      <c r="A67" s="2" t="s">
        <v>319</v>
      </c>
      <c r="B67" s="12">
        <f>B28</f>
        <v>2.3</v>
      </c>
      <c r="C67" s="10"/>
    </row>
    <row r="68" ht="12">
      <c r="A68" s="2" t="s">
        <v>320</v>
      </c>
    </row>
    <row r="69" ht="12">
      <c r="A69" s="2" t="s">
        <v>257</v>
      </c>
    </row>
    <row r="70" spans="1:2" ht="12">
      <c r="A70" s="2">
        <f>ROUND((6.56*B64+34.4)*10^(-3)*B67,3)</f>
        <v>0.577</v>
      </c>
      <c r="B70" s="2" t="s">
        <v>294</v>
      </c>
    </row>
    <row r="72" spans="1:3" ht="12">
      <c r="A72" s="2" t="s">
        <v>321</v>
      </c>
      <c r="B72" s="2">
        <f>A58+A60+A62+A70</f>
        <v>2.4379999999999997</v>
      </c>
      <c r="C72" s="2" t="s">
        <v>294</v>
      </c>
    </row>
    <row r="74" spans="1:5" ht="12">
      <c r="A74" s="2" t="s">
        <v>615</v>
      </c>
      <c r="D74" s="2">
        <f>A75</f>
        <v>600</v>
      </c>
      <c r="E74" s="2" t="s">
        <v>616</v>
      </c>
    </row>
    <row r="75" spans="1:2" ht="12">
      <c r="A75" s="64">
        <v>600</v>
      </c>
      <c r="B75" s="2" t="s">
        <v>1264</v>
      </c>
    </row>
    <row r="76" spans="1:2" ht="12">
      <c r="A76" s="10">
        <f>'床版'!C44</f>
        <v>80</v>
      </c>
      <c r="B76" s="2" t="s">
        <v>1264</v>
      </c>
    </row>
    <row r="77" spans="1:9" ht="12">
      <c r="A77" s="4" t="s">
        <v>612</v>
      </c>
      <c r="B77" s="2">
        <f>A75</f>
        <v>600</v>
      </c>
      <c r="C77" s="17" t="s">
        <v>611</v>
      </c>
      <c r="D77" s="5">
        <f>A76</f>
        <v>80</v>
      </c>
      <c r="E77" s="5" t="s">
        <v>1266</v>
      </c>
      <c r="F77" s="2">
        <v>3</v>
      </c>
      <c r="G77" s="2" t="s">
        <v>609</v>
      </c>
      <c r="H77" s="5" t="s">
        <v>1266</v>
      </c>
      <c r="I77" s="2">
        <v>2</v>
      </c>
    </row>
    <row r="78" spans="1:2" ht="12">
      <c r="A78" s="2">
        <f>ROUND(A75+(A76*3)*2,3)</f>
        <v>1080</v>
      </c>
      <c r="B78" s="2" t="s">
        <v>1264</v>
      </c>
    </row>
    <row r="79" spans="1:9" ht="12">
      <c r="A79" s="2" t="s">
        <v>613</v>
      </c>
      <c r="B79" s="2">
        <f>A75/1000</f>
        <v>0.6</v>
      </c>
      <c r="C79" s="2" t="s">
        <v>608</v>
      </c>
      <c r="D79" s="2">
        <f>A78/1000</f>
        <v>1.08</v>
      </c>
      <c r="E79" s="2" t="s">
        <v>609</v>
      </c>
      <c r="F79" s="5" t="s">
        <v>610</v>
      </c>
      <c r="G79" s="2">
        <v>2</v>
      </c>
      <c r="H79" s="5" t="s">
        <v>1266</v>
      </c>
      <c r="I79" s="2">
        <f>A76/1000</f>
        <v>0.08</v>
      </c>
    </row>
    <row r="80" spans="1:2" ht="12">
      <c r="A80" s="2">
        <f>ROUND((A75/1000+A78/1000)/2*A76/1000,3)</f>
        <v>0.067</v>
      </c>
      <c r="B80" s="2" t="s">
        <v>614</v>
      </c>
    </row>
    <row r="82" ht="12">
      <c r="A82" s="2" t="s">
        <v>322</v>
      </c>
    </row>
    <row r="83" ht="12">
      <c r="A83" s="2" t="s">
        <v>323</v>
      </c>
    </row>
    <row r="84" spans="1:6" ht="12">
      <c r="A84" s="2" t="s">
        <v>298</v>
      </c>
      <c r="F84" s="2" t="s">
        <v>324</v>
      </c>
    </row>
    <row r="85" spans="2:9" ht="12">
      <c r="B85" s="2" t="s">
        <v>300</v>
      </c>
      <c r="C85" s="8">
        <v>1</v>
      </c>
      <c r="D85" s="2" t="s">
        <v>301</v>
      </c>
      <c r="E85" s="5" t="s">
        <v>302</v>
      </c>
      <c r="F85" s="12">
        <f>B67</f>
        <v>2.3</v>
      </c>
      <c r="G85" s="2" t="s">
        <v>303</v>
      </c>
      <c r="H85" s="2">
        <f>ROUND(C85*F85,3)</f>
        <v>2.3</v>
      </c>
      <c r="I85" s="2" t="s">
        <v>304</v>
      </c>
    </row>
    <row r="86" spans="1:4" ht="12">
      <c r="A86" s="2" t="s">
        <v>325</v>
      </c>
      <c r="D86" s="5"/>
    </row>
    <row r="87" spans="2:9" ht="12">
      <c r="B87" s="2" t="s">
        <v>306</v>
      </c>
      <c r="C87" s="8">
        <v>1.2</v>
      </c>
      <c r="D87" s="2" t="s">
        <v>307</v>
      </c>
      <c r="E87" s="5" t="s">
        <v>841</v>
      </c>
      <c r="F87" s="8">
        <f>B67</f>
        <v>2.3</v>
      </c>
      <c r="G87" s="2" t="s">
        <v>308</v>
      </c>
      <c r="H87" s="2">
        <f>ROUND(C87*F87,3)</f>
        <v>2.76</v>
      </c>
      <c r="I87" s="2" t="s">
        <v>309</v>
      </c>
    </row>
    <row r="88" ht="12">
      <c r="E88" s="5"/>
    </row>
    <row r="89" spans="2:9" ht="12">
      <c r="B89" s="2" t="s">
        <v>310</v>
      </c>
      <c r="C89" s="8">
        <v>0.35</v>
      </c>
      <c r="D89" s="2" t="s">
        <v>307</v>
      </c>
      <c r="E89" s="5" t="s">
        <v>841</v>
      </c>
      <c r="F89" s="8">
        <f>B67</f>
        <v>2.3</v>
      </c>
      <c r="G89" s="2" t="s">
        <v>308</v>
      </c>
      <c r="H89" s="2">
        <f>ROUND(C89*F89,3)</f>
        <v>0.805</v>
      </c>
      <c r="I89" s="2" t="s">
        <v>309</v>
      </c>
    </row>
    <row r="91" ht="12">
      <c r="A91" s="2" t="s">
        <v>311</v>
      </c>
    </row>
    <row r="92" ht="12">
      <c r="A92" s="2" t="s">
        <v>312</v>
      </c>
    </row>
    <row r="93" ht="12">
      <c r="A93" s="2">
        <f>ROUND(20/(50+B64),3)</f>
        <v>0.241</v>
      </c>
    </row>
    <row r="94" ht="12">
      <c r="A94" s="2" t="s">
        <v>326</v>
      </c>
    </row>
    <row r="95" ht="12">
      <c r="A95" s="2" t="s">
        <v>327</v>
      </c>
    </row>
    <row r="97" ht="12">
      <c r="A97" s="8" t="s">
        <v>329</v>
      </c>
    </row>
    <row r="98" spans="1:2" ht="12">
      <c r="A98" s="2" t="s">
        <v>1311</v>
      </c>
      <c r="B98" s="2" t="s">
        <v>330</v>
      </c>
    </row>
    <row r="99" ht="12">
      <c r="B99" s="2" t="s">
        <v>331</v>
      </c>
    </row>
    <row r="101" ht="12">
      <c r="B101" s="2" t="s">
        <v>332</v>
      </c>
    </row>
    <row r="103" ht="12">
      <c r="A103" s="2" t="s">
        <v>1312</v>
      </c>
    </row>
    <row r="104" ht="12">
      <c r="A104" s="2" t="s">
        <v>333</v>
      </c>
    </row>
    <row r="106" spans="1:6" ht="12">
      <c r="A106" s="10" t="s">
        <v>334</v>
      </c>
      <c r="F106" s="2" t="s">
        <v>335</v>
      </c>
    </row>
    <row r="107" spans="1:8" ht="12">
      <c r="A107" s="2" t="s">
        <v>336</v>
      </c>
      <c r="B107" s="12">
        <f>B33</f>
        <v>2.073</v>
      </c>
      <c r="C107" s="2" t="s">
        <v>102</v>
      </c>
      <c r="F107" s="2" t="s">
        <v>336</v>
      </c>
      <c r="G107" s="12">
        <f>B72</f>
        <v>2.4379999999999997</v>
      </c>
      <c r="H107" s="2" t="s">
        <v>102</v>
      </c>
    </row>
    <row r="108" spans="1:6" ht="12">
      <c r="A108" s="2" t="s">
        <v>337</v>
      </c>
      <c r="F108" s="2" t="s">
        <v>337</v>
      </c>
    </row>
    <row r="109" spans="1:8" ht="12">
      <c r="A109" s="2" t="s">
        <v>338</v>
      </c>
      <c r="B109" s="12">
        <f>B64</f>
        <v>33</v>
      </c>
      <c r="C109" s="2" t="s">
        <v>42</v>
      </c>
      <c r="F109" s="2" t="s">
        <v>338</v>
      </c>
      <c r="G109" s="12">
        <f>B64</f>
        <v>33</v>
      </c>
      <c r="H109" s="2" t="s">
        <v>42</v>
      </c>
    </row>
    <row r="110" spans="1:8" ht="12">
      <c r="A110" s="2" t="s">
        <v>339</v>
      </c>
      <c r="B110" s="8">
        <f>ROUND(B114*0.25,3)</f>
        <v>4.125</v>
      </c>
      <c r="C110" s="2" t="s">
        <v>42</v>
      </c>
      <c r="F110" s="2" t="s">
        <v>339</v>
      </c>
      <c r="G110" s="12">
        <f>B124</f>
        <v>4.125</v>
      </c>
      <c r="H110" s="2" t="s">
        <v>42</v>
      </c>
    </row>
    <row r="111" spans="1:8" ht="12">
      <c r="A111" s="5">
        <v>3</v>
      </c>
      <c r="B111" s="2" t="s">
        <v>1508</v>
      </c>
      <c r="C111" s="2">
        <f>ROUND(($B$107*$B$109^2)/2*(B110/$B$109*(1-B110/$B$109)),3)</f>
        <v>123.457</v>
      </c>
      <c r="F111" s="5">
        <v>3</v>
      </c>
      <c r="G111" s="2" t="s">
        <v>1508</v>
      </c>
      <c r="H111" s="2">
        <f>ROUND((G107*G109^2)/2*(G110/G109*(1-G110/G109)),3)</f>
        <v>145.194</v>
      </c>
    </row>
    <row r="112" spans="1:8" ht="12">
      <c r="A112" s="2" t="s">
        <v>339</v>
      </c>
      <c r="B112" s="8">
        <f>ROUND(B114*0.5,3)</f>
        <v>8.25</v>
      </c>
      <c r="C112" s="2" t="s">
        <v>42</v>
      </c>
      <c r="D112" s="2">
        <f>B114*0.75</f>
        <v>12.375</v>
      </c>
      <c r="F112" s="2" t="s">
        <v>339</v>
      </c>
      <c r="G112" s="12">
        <f>B112</f>
        <v>8.25</v>
      </c>
      <c r="H112" s="2" t="s">
        <v>42</v>
      </c>
    </row>
    <row r="113" spans="1:8" ht="12">
      <c r="A113" s="5">
        <v>2</v>
      </c>
      <c r="B113" s="2" t="s">
        <v>1508</v>
      </c>
      <c r="C113" s="2">
        <f>ROUND(($B$107*$B$109^2)/2*(B112/$B$109*(1-B112/$B$109)),3)</f>
        <v>211.64</v>
      </c>
      <c r="F113" s="5">
        <v>2</v>
      </c>
      <c r="G113" s="2" t="s">
        <v>1508</v>
      </c>
      <c r="H113" s="2">
        <f>ROUND((G107*G109^2)/2*(G112/G109*(1-G112/G109)),3)</f>
        <v>248.905</v>
      </c>
    </row>
    <row r="114" spans="1:8" ht="12">
      <c r="A114" s="2" t="s">
        <v>339</v>
      </c>
      <c r="B114" s="8">
        <f>ROUND(B109/2,3)</f>
        <v>16.5</v>
      </c>
      <c r="C114" s="2" t="s">
        <v>42</v>
      </c>
      <c r="F114" s="2" t="s">
        <v>339</v>
      </c>
      <c r="G114" s="12">
        <f>B114</f>
        <v>16.5</v>
      </c>
      <c r="H114" s="2" t="s">
        <v>42</v>
      </c>
    </row>
    <row r="115" spans="1:8" ht="12">
      <c r="A115" s="5">
        <v>1</v>
      </c>
      <c r="B115" s="2" t="s">
        <v>1508</v>
      </c>
      <c r="C115" s="2">
        <f>ROUND(($B$107*$B$109^2)/2*(B114/$B$109*(1-B114/$B$109)),3)</f>
        <v>282.187</v>
      </c>
      <c r="F115" s="5">
        <v>1</v>
      </c>
      <c r="G115" s="2" t="s">
        <v>1508</v>
      </c>
      <c r="H115" s="2">
        <f>ROUND((G107*G109^2)/2*(G114/G109*(1-G114/G109)),3)</f>
        <v>331.873</v>
      </c>
    </row>
    <row r="118" spans="1:6" ht="12">
      <c r="A118" s="2" t="s">
        <v>340</v>
      </c>
      <c r="F118" s="2" t="s">
        <v>340</v>
      </c>
    </row>
    <row r="120" spans="1:6" ht="12">
      <c r="A120" s="2" t="s">
        <v>341</v>
      </c>
      <c r="F120" s="2" t="s">
        <v>341</v>
      </c>
    </row>
    <row r="121" spans="1:8" ht="12">
      <c r="A121" s="2" t="s">
        <v>342</v>
      </c>
      <c r="B121" s="12">
        <f>G45</f>
        <v>0.534</v>
      </c>
      <c r="C121" s="2" t="s">
        <v>109</v>
      </c>
      <c r="F121" s="2" t="s">
        <v>342</v>
      </c>
      <c r="G121" s="12">
        <f>H89</f>
        <v>0.805</v>
      </c>
      <c r="H121" s="2" t="s">
        <v>109</v>
      </c>
    </row>
    <row r="122" spans="1:6" ht="12">
      <c r="A122" s="2" t="s">
        <v>343</v>
      </c>
      <c r="F122" s="2" t="s">
        <v>343</v>
      </c>
    </row>
    <row r="123" spans="1:8" ht="12">
      <c r="A123" s="2" t="s">
        <v>344</v>
      </c>
      <c r="B123" s="10">
        <f>B109</f>
        <v>33</v>
      </c>
      <c r="C123" s="2" t="s">
        <v>220</v>
      </c>
      <c r="F123" s="2" t="s">
        <v>344</v>
      </c>
      <c r="G123" s="10">
        <f>G109</f>
        <v>33</v>
      </c>
      <c r="H123" s="2" t="s">
        <v>220</v>
      </c>
    </row>
    <row r="124" spans="1:8" ht="12">
      <c r="A124" s="2" t="s">
        <v>345</v>
      </c>
      <c r="B124" s="10">
        <f>B110</f>
        <v>4.125</v>
      </c>
      <c r="C124" s="2" t="s">
        <v>220</v>
      </c>
      <c r="F124" s="2" t="s">
        <v>345</v>
      </c>
      <c r="G124" s="10">
        <f>G110</f>
        <v>4.125</v>
      </c>
      <c r="H124" s="2" t="s">
        <v>220</v>
      </c>
    </row>
    <row r="125" spans="1:9" ht="12">
      <c r="A125" s="5">
        <v>3</v>
      </c>
      <c r="B125" s="10" t="s">
        <v>346</v>
      </c>
      <c r="C125" s="2">
        <f>ROUND(($B$121*$B$123^2)/2*(B124/$B$123*(1-B124/$B$123)),3)</f>
        <v>31.802</v>
      </c>
      <c r="D125" s="2" t="s">
        <v>347</v>
      </c>
      <c r="F125" s="5">
        <v>3</v>
      </c>
      <c r="G125" s="10" t="s">
        <v>346</v>
      </c>
      <c r="H125" s="2">
        <f>ROUND((G121*G123^2)/2*(G124/G123*(1-G124/G123)),3)</f>
        <v>47.942</v>
      </c>
      <c r="I125" s="2" t="s">
        <v>347</v>
      </c>
    </row>
    <row r="126" spans="1:8" ht="12">
      <c r="A126" s="2" t="s">
        <v>345</v>
      </c>
      <c r="B126" s="10">
        <f>B112</f>
        <v>8.25</v>
      </c>
      <c r="C126" s="2" t="s">
        <v>220</v>
      </c>
      <c r="F126" s="2" t="s">
        <v>345</v>
      </c>
      <c r="G126" s="10">
        <f>G112</f>
        <v>8.25</v>
      </c>
      <c r="H126" s="2" t="s">
        <v>220</v>
      </c>
    </row>
    <row r="127" spans="1:9" ht="12">
      <c r="A127" s="5">
        <v>2</v>
      </c>
      <c r="B127" s="10" t="s">
        <v>346</v>
      </c>
      <c r="C127" s="2">
        <f>ROUND(($B$121*$B$123^2)/2*(B126/$B$123*(1-B126/$B$123)),3)</f>
        <v>54.518</v>
      </c>
      <c r="D127" s="2" t="s">
        <v>347</v>
      </c>
      <c r="F127" s="5">
        <v>2</v>
      </c>
      <c r="G127" s="10" t="s">
        <v>346</v>
      </c>
      <c r="H127" s="2">
        <f>ROUND((G121*G123^2)/2*(G126/G123*(1-G126/G123)),3)</f>
        <v>82.185</v>
      </c>
      <c r="I127" s="2" t="s">
        <v>347</v>
      </c>
    </row>
    <row r="128" spans="1:8" ht="12">
      <c r="A128" s="2" t="s">
        <v>345</v>
      </c>
      <c r="B128" s="10">
        <f>B114</f>
        <v>16.5</v>
      </c>
      <c r="C128" s="2" t="s">
        <v>220</v>
      </c>
      <c r="F128" s="2" t="s">
        <v>345</v>
      </c>
      <c r="G128" s="10">
        <f>G114</f>
        <v>16.5</v>
      </c>
      <c r="H128" s="2" t="s">
        <v>220</v>
      </c>
    </row>
    <row r="129" spans="1:9" ht="12">
      <c r="A129" s="5">
        <v>1</v>
      </c>
      <c r="B129" s="10" t="s">
        <v>346</v>
      </c>
      <c r="C129" s="2">
        <f>ROUND(($B$121*$B$123^2)/2*(B128/$B$123*(1-B128/$B$123)),3)</f>
        <v>72.691</v>
      </c>
      <c r="D129" s="2" t="s">
        <v>347</v>
      </c>
      <c r="F129" s="5">
        <v>1</v>
      </c>
      <c r="G129" s="10" t="s">
        <v>346</v>
      </c>
      <c r="H129" s="2">
        <f>ROUND((G121*G123^2)/2*(G128/G123*(1-G128/G123)),3)</f>
        <v>109.581</v>
      </c>
      <c r="I129" s="2" t="s">
        <v>347</v>
      </c>
    </row>
    <row r="130" spans="1:6" ht="12">
      <c r="A130" s="2" t="s">
        <v>348</v>
      </c>
      <c r="F130" s="2" t="s">
        <v>348</v>
      </c>
    </row>
    <row r="131" spans="1:8" ht="12">
      <c r="A131" s="2" t="s">
        <v>349</v>
      </c>
      <c r="B131" s="12">
        <f>G41</f>
        <v>1.526</v>
      </c>
      <c r="C131" s="2" t="s">
        <v>109</v>
      </c>
      <c r="F131" s="2" t="s">
        <v>349</v>
      </c>
      <c r="G131" s="12">
        <f>H85</f>
        <v>2.3</v>
      </c>
      <c r="H131" s="2" t="s">
        <v>109</v>
      </c>
    </row>
    <row r="132" spans="1:6" ht="12">
      <c r="A132" s="2" t="s">
        <v>350</v>
      </c>
      <c r="F132" s="2" t="s">
        <v>350</v>
      </c>
    </row>
    <row r="133" spans="1:9" ht="12">
      <c r="A133" s="17" t="s">
        <v>351</v>
      </c>
      <c r="C133" s="10">
        <f>B110</f>
        <v>4.125</v>
      </c>
      <c r="D133" s="2" t="s">
        <v>352</v>
      </c>
      <c r="F133" s="17" t="s">
        <v>351</v>
      </c>
      <c r="H133" s="10">
        <f>G110</f>
        <v>4.125</v>
      </c>
      <c r="I133" s="2" t="s">
        <v>352</v>
      </c>
    </row>
    <row r="134" spans="1:10" ht="12">
      <c r="A134" s="2" t="s">
        <v>353</v>
      </c>
      <c r="C134" s="64">
        <v>10</v>
      </c>
      <c r="D134" s="2" t="s">
        <v>352</v>
      </c>
      <c r="E134" s="2" t="s">
        <v>354</v>
      </c>
      <c r="F134" s="2" t="s">
        <v>240</v>
      </c>
      <c r="H134" s="64">
        <f>C134</f>
        <v>10</v>
      </c>
      <c r="I134" s="2" t="s">
        <v>355</v>
      </c>
      <c r="J134" s="2" t="s">
        <v>354</v>
      </c>
    </row>
    <row r="135" spans="1:9" ht="12">
      <c r="A135" s="2" t="s">
        <v>356</v>
      </c>
      <c r="C135" s="12">
        <f>B109</f>
        <v>33</v>
      </c>
      <c r="D135" s="2" t="s">
        <v>355</v>
      </c>
      <c r="F135" s="2" t="s">
        <v>356</v>
      </c>
      <c r="H135" s="12">
        <f>G109</f>
        <v>33</v>
      </c>
      <c r="I135" s="2" t="s">
        <v>355</v>
      </c>
    </row>
    <row r="136" spans="1:9" ht="12">
      <c r="A136" s="2" t="s">
        <v>357</v>
      </c>
      <c r="C136" s="10">
        <f>ROUND(C133*(1-C134/C135),3)</f>
        <v>2.875</v>
      </c>
      <c r="D136" s="2" t="s">
        <v>355</v>
      </c>
      <c r="F136" s="2" t="s">
        <v>357</v>
      </c>
      <c r="H136" s="10">
        <f>ROUND(H133*(1-H134/H135),3)</f>
        <v>2.875</v>
      </c>
      <c r="I136" s="2" t="s">
        <v>355</v>
      </c>
    </row>
    <row r="137" spans="1:9" ht="12">
      <c r="A137" s="17" t="s">
        <v>358</v>
      </c>
      <c r="B137" s="10"/>
      <c r="C137" s="2">
        <f>ROUND(C134/C135,3)</f>
        <v>0.303</v>
      </c>
      <c r="D137" s="2" t="s">
        <v>355</v>
      </c>
      <c r="F137" s="17" t="s">
        <v>358</v>
      </c>
      <c r="G137" s="10"/>
      <c r="H137" s="2">
        <f>ROUND(H134/H135,3)</f>
        <v>0.303</v>
      </c>
      <c r="I137" s="2" t="s">
        <v>355</v>
      </c>
    </row>
    <row r="138" spans="1:9" ht="12">
      <c r="A138" s="2" t="s">
        <v>359</v>
      </c>
      <c r="C138" s="2">
        <f>ROUND(C135-C136-C134,3)</f>
        <v>20.125</v>
      </c>
      <c r="D138" s="2" t="s">
        <v>355</v>
      </c>
      <c r="F138" s="2" t="s">
        <v>359</v>
      </c>
      <c r="H138" s="2">
        <f>ROUND(H135-H136-H134,3)</f>
        <v>20.125</v>
      </c>
      <c r="I138" s="2" t="s">
        <v>355</v>
      </c>
    </row>
    <row r="139" spans="2:7" ht="12">
      <c r="B139" s="10"/>
      <c r="G139" s="10"/>
    </row>
    <row r="140" spans="1:7" ht="12">
      <c r="A140" s="17"/>
      <c r="B140" s="10"/>
      <c r="F140" s="17"/>
      <c r="G140" s="10"/>
    </row>
    <row r="141" spans="1:7" ht="12">
      <c r="A141" s="5">
        <v>3</v>
      </c>
      <c r="B141" s="10"/>
      <c r="F141" s="5">
        <v>3</v>
      </c>
      <c r="G141" s="10"/>
    </row>
    <row r="142" spans="1:7" ht="12">
      <c r="A142" s="2" t="s">
        <v>360</v>
      </c>
      <c r="B142" s="10"/>
      <c r="F142" s="2" t="s">
        <v>360</v>
      </c>
      <c r="G142" s="10"/>
    </row>
    <row r="143" spans="2:9" ht="12">
      <c r="B143" s="10"/>
      <c r="C143" s="5">
        <f>ROUND(B131*(C134/C135)/2*(C134+2*C138)*C133-B131/2*(C133-C136)^2,3)</f>
        <v>46.734</v>
      </c>
      <c r="D143" s="2" t="s">
        <v>361</v>
      </c>
      <c r="G143" s="10"/>
      <c r="H143" s="5">
        <f>ROUND(G131*(H134/H135)/2*(H134+2*H138)*H133-G131/2*(H133-H136)^2,3)</f>
        <v>70.438</v>
      </c>
      <c r="I143" s="2" t="s">
        <v>361</v>
      </c>
    </row>
    <row r="145" spans="1:8" ht="12">
      <c r="A145" s="2" t="s">
        <v>362</v>
      </c>
      <c r="B145" s="12">
        <f>G41</f>
        <v>1.526</v>
      </c>
      <c r="C145" s="2" t="s">
        <v>294</v>
      </c>
      <c r="F145" s="2" t="s">
        <v>362</v>
      </c>
      <c r="G145" s="12">
        <f>H85</f>
        <v>2.3</v>
      </c>
      <c r="H145" s="2" t="s">
        <v>294</v>
      </c>
    </row>
    <row r="146" spans="1:6" ht="12">
      <c r="A146" s="2" t="s">
        <v>363</v>
      </c>
      <c r="F146" s="2" t="s">
        <v>363</v>
      </c>
    </row>
    <row r="147" spans="1:9" ht="12">
      <c r="A147" s="17" t="s">
        <v>351</v>
      </c>
      <c r="C147" s="10">
        <f>B126</f>
        <v>8.25</v>
      </c>
      <c r="D147" s="2" t="s">
        <v>352</v>
      </c>
      <c r="F147" s="17" t="s">
        <v>351</v>
      </c>
      <c r="H147" s="10">
        <f>G126</f>
        <v>8.25</v>
      </c>
      <c r="I147" s="2" t="s">
        <v>352</v>
      </c>
    </row>
    <row r="148" spans="1:10" ht="12">
      <c r="A148" s="2" t="s">
        <v>353</v>
      </c>
      <c r="C148" s="64">
        <f>C134</f>
        <v>10</v>
      </c>
      <c r="D148" s="2" t="s">
        <v>352</v>
      </c>
      <c r="E148" s="2" t="s">
        <v>354</v>
      </c>
      <c r="F148" s="2" t="s">
        <v>240</v>
      </c>
      <c r="H148" s="64">
        <f>H134</f>
        <v>10</v>
      </c>
      <c r="I148" s="2" t="s">
        <v>355</v>
      </c>
      <c r="J148" s="2" t="s">
        <v>354</v>
      </c>
    </row>
    <row r="149" spans="1:9" ht="12">
      <c r="A149" s="2" t="s">
        <v>356</v>
      </c>
      <c r="C149" s="12">
        <f>B123</f>
        <v>33</v>
      </c>
      <c r="D149" s="2" t="s">
        <v>355</v>
      </c>
      <c r="F149" s="2" t="s">
        <v>356</v>
      </c>
      <c r="H149" s="12">
        <f>G123</f>
        <v>33</v>
      </c>
      <c r="I149" s="2" t="s">
        <v>355</v>
      </c>
    </row>
    <row r="150" spans="1:9" ht="12">
      <c r="A150" s="2" t="s">
        <v>357</v>
      </c>
      <c r="C150" s="10">
        <f>ROUND(C147*(1-C148/C149),3)</f>
        <v>5.75</v>
      </c>
      <c r="D150" s="2" t="s">
        <v>355</v>
      </c>
      <c r="F150" s="2" t="s">
        <v>357</v>
      </c>
      <c r="H150" s="10">
        <f>ROUND(H147*(1-H148/H149),3)</f>
        <v>5.75</v>
      </c>
      <c r="I150" s="2" t="s">
        <v>355</v>
      </c>
    </row>
    <row r="151" spans="1:9" ht="12">
      <c r="A151" s="17" t="s">
        <v>358</v>
      </c>
      <c r="B151" s="10"/>
      <c r="C151" s="2">
        <f>ROUND(C148/C149,3)</f>
        <v>0.303</v>
      </c>
      <c r="D151" s="2" t="s">
        <v>355</v>
      </c>
      <c r="F151" s="17" t="s">
        <v>358</v>
      </c>
      <c r="G151" s="10"/>
      <c r="H151" s="2">
        <f>ROUND(H148/H149,3)</f>
        <v>0.303</v>
      </c>
      <c r="I151" s="2" t="s">
        <v>355</v>
      </c>
    </row>
    <row r="152" spans="1:9" ht="12">
      <c r="A152" s="2" t="s">
        <v>359</v>
      </c>
      <c r="C152" s="2">
        <f>ROUND(C149-C150-C148,3)</f>
        <v>17.25</v>
      </c>
      <c r="D152" s="2" t="s">
        <v>355</v>
      </c>
      <c r="F152" s="2" t="s">
        <v>359</v>
      </c>
      <c r="H152" s="2">
        <f>ROUND(H149-H150-H148,3)</f>
        <v>17.25</v>
      </c>
      <c r="I152" s="2" t="s">
        <v>355</v>
      </c>
    </row>
    <row r="153" spans="2:7" ht="12">
      <c r="B153" s="10"/>
      <c r="G153" s="10"/>
    </row>
    <row r="154" spans="1:7" ht="12">
      <c r="A154" s="17"/>
      <c r="B154" s="10"/>
      <c r="F154" s="17"/>
      <c r="G154" s="10"/>
    </row>
    <row r="155" spans="1:7" ht="12">
      <c r="A155" s="5">
        <v>2</v>
      </c>
      <c r="B155" s="10"/>
      <c r="F155" s="5">
        <v>2</v>
      </c>
      <c r="G155" s="10"/>
    </row>
    <row r="156" spans="1:7" ht="12">
      <c r="A156" s="2" t="s">
        <v>360</v>
      </c>
      <c r="B156" s="10"/>
      <c r="F156" s="2" t="s">
        <v>360</v>
      </c>
      <c r="G156" s="10"/>
    </row>
    <row r="157" spans="2:9" ht="12">
      <c r="B157" s="10"/>
      <c r="C157" s="5">
        <f>ROUND(B145*(C148/C149)/2*(C148+2*C152)*C147-B145/2*(C147-C150)^2,3)</f>
        <v>80.115</v>
      </c>
      <c r="D157" s="2" t="s">
        <v>361</v>
      </c>
      <c r="G157" s="10"/>
      <c r="H157" s="5">
        <f>ROUND(G145*(H148/H149)/2*(H148+2*H152)*H147-G145/2*(H147-H150)^2,3)</f>
        <v>120.75</v>
      </c>
      <c r="I157" s="2" t="s">
        <v>361</v>
      </c>
    </row>
    <row r="159" spans="1:8" ht="12">
      <c r="A159" s="2" t="s">
        <v>362</v>
      </c>
      <c r="B159" s="12">
        <f>G41</f>
        <v>1.526</v>
      </c>
      <c r="C159" s="2" t="s">
        <v>294</v>
      </c>
      <c r="F159" s="2" t="s">
        <v>362</v>
      </c>
      <c r="G159" s="12">
        <f>H85</f>
        <v>2.3</v>
      </c>
      <c r="H159" s="2" t="s">
        <v>294</v>
      </c>
    </row>
    <row r="160" spans="1:6" ht="12">
      <c r="A160" s="2" t="s">
        <v>364</v>
      </c>
      <c r="F160" s="2" t="s">
        <v>364</v>
      </c>
    </row>
    <row r="161" spans="1:9" ht="12">
      <c r="A161" s="17" t="s">
        <v>351</v>
      </c>
      <c r="C161" s="10">
        <f>B128</f>
        <v>16.5</v>
      </c>
      <c r="D161" s="2" t="s">
        <v>352</v>
      </c>
      <c r="F161" s="17" t="s">
        <v>351</v>
      </c>
      <c r="H161" s="10">
        <f>G128</f>
        <v>16.5</v>
      </c>
      <c r="I161" s="2" t="s">
        <v>352</v>
      </c>
    </row>
    <row r="162" spans="1:10" ht="12">
      <c r="A162" s="2" t="s">
        <v>353</v>
      </c>
      <c r="C162" s="64">
        <f>C134</f>
        <v>10</v>
      </c>
      <c r="D162" s="2" t="s">
        <v>352</v>
      </c>
      <c r="E162" s="2" t="s">
        <v>354</v>
      </c>
      <c r="F162" s="2" t="s">
        <v>240</v>
      </c>
      <c r="H162" s="64">
        <f>H134</f>
        <v>10</v>
      </c>
      <c r="I162" s="2" t="s">
        <v>355</v>
      </c>
      <c r="J162" s="2" t="s">
        <v>354</v>
      </c>
    </row>
    <row r="163" spans="1:9" ht="12">
      <c r="A163" s="2" t="s">
        <v>356</v>
      </c>
      <c r="C163" s="12">
        <f>C135</f>
        <v>33</v>
      </c>
      <c r="D163" s="2" t="s">
        <v>355</v>
      </c>
      <c r="F163" s="2" t="s">
        <v>356</v>
      </c>
      <c r="H163" s="12">
        <f>H135</f>
        <v>33</v>
      </c>
      <c r="I163" s="2" t="s">
        <v>355</v>
      </c>
    </row>
    <row r="164" spans="1:9" ht="12">
      <c r="A164" s="2" t="s">
        <v>357</v>
      </c>
      <c r="C164" s="10">
        <f>ROUND(C161*(1-C162/C163),3)</f>
        <v>11.5</v>
      </c>
      <c r="D164" s="2" t="s">
        <v>355</v>
      </c>
      <c r="F164" s="2" t="s">
        <v>357</v>
      </c>
      <c r="H164" s="10">
        <f>ROUND(H161*(1-H162/H163),3)</f>
        <v>11.5</v>
      </c>
      <c r="I164" s="2" t="s">
        <v>355</v>
      </c>
    </row>
    <row r="165" spans="1:9" ht="12">
      <c r="A165" s="17" t="s">
        <v>358</v>
      </c>
      <c r="B165" s="10"/>
      <c r="C165" s="2">
        <f>ROUND(C162/C163,3)</f>
        <v>0.303</v>
      </c>
      <c r="D165" s="2" t="s">
        <v>355</v>
      </c>
      <c r="F165" s="17" t="s">
        <v>358</v>
      </c>
      <c r="G165" s="10"/>
      <c r="H165" s="2">
        <f>ROUND(H162/H163,3)</f>
        <v>0.303</v>
      </c>
      <c r="I165" s="2" t="s">
        <v>355</v>
      </c>
    </row>
    <row r="166" spans="1:9" ht="12">
      <c r="A166" s="2" t="s">
        <v>359</v>
      </c>
      <c r="C166" s="2">
        <f>ROUND(C163-C164-C162,3)</f>
        <v>11.5</v>
      </c>
      <c r="D166" s="2" t="s">
        <v>355</v>
      </c>
      <c r="F166" s="2" t="s">
        <v>359</v>
      </c>
      <c r="H166" s="2">
        <f>ROUND(H163-H164-H162,3)</f>
        <v>11.5</v>
      </c>
      <c r="I166" s="2" t="s">
        <v>355</v>
      </c>
    </row>
    <row r="167" spans="2:7" ht="12">
      <c r="B167" s="10"/>
      <c r="G167" s="10"/>
    </row>
    <row r="168" spans="1:7" ht="12">
      <c r="A168" s="17"/>
      <c r="B168" s="10"/>
      <c r="F168" s="17"/>
      <c r="G168" s="10"/>
    </row>
    <row r="169" spans="1:7" ht="12">
      <c r="A169" s="5">
        <v>1</v>
      </c>
      <c r="B169" s="10"/>
      <c r="F169" s="5">
        <v>1</v>
      </c>
      <c r="G169" s="10"/>
    </row>
    <row r="170" spans="1:7" ht="12">
      <c r="A170" s="2" t="s">
        <v>360</v>
      </c>
      <c r="B170" s="10"/>
      <c r="F170" s="2" t="s">
        <v>360</v>
      </c>
      <c r="G170" s="10"/>
    </row>
    <row r="171" spans="2:9" ht="12">
      <c r="B171" s="10"/>
      <c r="C171" s="5">
        <f>ROUND(B159*(C162/C163)/2*(C162+2*C166)*C161-B159/2*(C161-C164)^2,3)</f>
        <v>106.82</v>
      </c>
      <c r="D171" s="2" t="s">
        <v>361</v>
      </c>
      <c r="G171" s="10"/>
      <c r="H171" s="5">
        <f>ROUND(G159*(H162/H163)/2*(H162+2*H166)*H161-G159/2*(H161-H164)^2,3)</f>
        <v>161</v>
      </c>
      <c r="I171" s="2" t="s">
        <v>361</v>
      </c>
    </row>
    <row r="172" spans="1:6" ht="12">
      <c r="A172" s="2" t="s">
        <v>365</v>
      </c>
      <c r="F172" s="2" t="s">
        <v>365</v>
      </c>
    </row>
    <row r="174" spans="1:10" ht="12">
      <c r="A174" s="2" t="s">
        <v>366</v>
      </c>
      <c r="C174" s="2" t="s">
        <v>1310</v>
      </c>
      <c r="D174" s="2" t="s">
        <v>367</v>
      </c>
      <c r="E174" s="12">
        <f>A49</f>
        <v>0.241</v>
      </c>
      <c r="F174" s="2" t="s">
        <v>368</v>
      </c>
      <c r="H174" s="2" t="s">
        <v>1310</v>
      </c>
      <c r="I174" s="2" t="s">
        <v>367</v>
      </c>
      <c r="J174" s="12">
        <f>E174</f>
        <v>0.241</v>
      </c>
    </row>
    <row r="176" spans="1:6" ht="12">
      <c r="A176" s="2">
        <v>3</v>
      </c>
      <c r="F176" s="2">
        <v>3</v>
      </c>
    </row>
    <row r="177" spans="1:7" ht="12">
      <c r="A177" s="2" t="s">
        <v>369</v>
      </c>
      <c r="B177" s="2">
        <f>ROUND((C143+C125)*E174,3)</f>
        <v>18.927</v>
      </c>
      <c r="F177" s="2" t="s">
        <v>369</v>
      </c>
      <c r="G177" s="2">
        <f>ROUND((H143+H125)*J174,3)</f>
        <v>28.53</v>
      </c>
    </row>
    <row r="178" spans="1:6" ht="12">
      <c r="A178" s="2">
        <v>2</v>
      </c>
      <c r="F178" s="2">
        <v>2</v>
      </c>
    </row>
    <row r="179" spans="1:7" ht="12">
      <c r="A179" s="2" t="s">
        <v>369</v>
      </c>
      <c r="B179" s="2">
        <f>ROUND((C157+C127)*E174,3)</f>
        <v>32.447</v>
      </c>
      <c r="F179" s="2" t="s">
        <v>369</v>
      </c>
      <c r="G179" s="2">
        <f>ROUND((H157+H127)*J174,3)</f>
        <v>48.907</v>
      </c>
    </row>
    <row r="180" spans="1:6" ht="12">
      <c r="A180" s="2">
        <v>1</v>
      </c>
      <c r="F180" s="2">
        <v>1</v>
      </c>
    </row>
    <row r="181" spans="1:7" ht="12">
      <c r="A181" s="2" t="s">
        <v>369</v>
      </c>
      <c r="B181" s="2">
        <f>ROUND((C171+C129)*E174,3)</f>
        <v>43.262</v>
      </c>
      <c r="F181" s="2" t="s">
        <v>369</v>
      </c>
      <c r="G181" s="2">
        <f>ROUND((H171+H129)*J174,3)</f>
        <v>65.21</v>
      </c>
    </row>
    <row r="183" spans="1:3" ht="12">
      <c r="A183" s="8" t="s">
        <v>370</v>
      </c>
      <c r="B183" s="8"/>
      <c r="C183" s="8"/>
    </row>
    <row r="184" ht="13.5" customHeight="1"/>
    <row r="185" spans="1:7" ht="12">
      <c r="A185" s="19"/>
      <c r="B185" s="19"/>
      <c r="C185" s="19"/>
      <c r="D185" s="21"/>
      <c r="E185" s="21" t="s">
        <v>371</v>
      </c>
      <c r="F185" s="21"/>
      <c r="G185" s="19" t="s">
        <v>1324</v>
      </c>
    </row>
    <row r="186" spans="1:7" ht="12">
      <c r="A186" s="19"/>
      <c r="B186" s="19" t="s">
        <v>372</v>
      </c>
      <c r="C186" s="19" t="s">
        <v>1323</v>
      </c>
      <c r="D186" s="19" t="s">
        <v>373</v>
      </c>
      <c r="E186" s="19" t="s">
        <v>374</v>
      </c>
      <c r="F186" s="19" t="s">
        <v>375</v>
      </c>
      <c r="G186" s="19" t="s">
        <v>376</v>
      </c>
    </row>
    <row r="187" spans="1:7" ht="12">
      <c r="A187" s="19" t="s">
        <v>377</v>
      </c>
      <c r="B187" s="19">
        <v>3</v>
      </c>
      <c r="C187" s="19">
        <f>C111</f>
        <v>123.457</v>
      </c>
      <c r="D187" s="19">
        <f>C143</f>
        <v>46.734</v>
      </c>
      <c r="E187" s="19">
        <f>C125</f>
        <v>31.802</v>
      </c>
      <c r="F187" s="19">
        <f>B177</f>
        <v>18.927</v>
      </c>
      <c r="G187" s="19">
        <f aca="true" t="shared" si="0" ref="G187:G192">SUM(C187:F187)</f>
        <v>220.92</v>
      </c>
    </row>
    <row r="188" spans="1:7" ht="12">
      <c r="A188" s="19"/>
      <c r="B188" s="19">
        <v>2</v>
      </c>
      <c r="C188" s="19">
        <f>C113</f>
        <v>211.64</v>
      </c>
      <c r="D188" s="19">
        <f>C157</f>
        <v>80.115</v>
      </c>
      <c r="E188" s="19">
        <f>C127</f>
        <v>54.518</v>
      </c>
      <c r="F188" s="19">
        <f>B179</f>
        <v>32.447</v>
      </c>
      <c r="G188" s="19">
        <f t="shared" si="0"/>
        <v>378.72</v>
      </c>
    </row>
    <row r="189" spans="1:7" ht="12">
      <c r="A189" s="19"/>
      <c r="B189" s="19">
        <v>1</v>
      </c>
      <c r="C189" s="19">
        <f>C115</f>
        <v>282.187</v>
      </c>
      <c r="D189" s="19">
        <f>C171</f>
        <v>106.82</v>
      </c>
      <c r="E189" s="19">
        <f>C129</f>
        <v>72.691</v>
      </c>
      <c r="F189" s="19">
        <f>B181</f>
        <v>43.262</v>
      </c>
      <c r="G189" s="19">
        <f t="shared" si="0"/>
        <v>504.96</v>
      </c>
    </row>
    <row r="190" spans="1:7" ht="12">
      <c r="A190" s="19" t="s">
        <v>378</v>
      </c>
      <c r="B190" s="19">
        <v>3</v>
      </c>
      <c r="C190" s="19">
        <f>H111</f>
        <v>145.194</v>
      </c>
      <c r="D190" s="19">
        <f>H143</f>
        <v>70.438</v>
      </c>
      <c r="E190" s="19">
        <f>H125</f>
        <v>47.942</v>
      </c>
      <c r="F190" s="19">
        <f>G177</f>
        <v>28.53</v>
      </c>
      <c r="G190" s="19">
        <f t="shared" si="0"/>
        <v>292.10400000000004</v>
      </c>
    </row>
    <row r="191" spans="1:7" ht="12">
      <c r="A191" s="19"/>
      <c r="B191" s="19">
        <v>2</v>
      </c>
      <c r="C191" s="19">
        <f>H113</f>
        <v>248.905</v>
      </c>
      <c r="D191" s="19">
        <f>H157</f>
        <v>120.75</v>
      </c>
      <c r="E191" s="19">
        <f>H127</f>
        <v>82.185</v>
      </c>
      <c r="F191" s="19">
        <f>G179</f>
        <v>48.907</v>
      </c>
      <c r="G191" s="19">
        <f t="shared" si="0"/>
        <v>500.74699999999996</v>
      </c>
    </row>
    <row r="192" spans="1:7" ht="12">
      <c r="A192" s="19"/>
      <c r="B192" s="19">
        <v>1</v>
      </c>
      <c r="C192" s="19">
        <f>H115</f>
        <v>331.873</v>
      </c>
      <c r="D192" s="19">
        <f>H171</f>
        <v>161</v>
      </c>
      <c r="E192" s="19">
        <f>H129</f>
        <v>109.581</v>
      </c>
      <c r="F192" s="19">
        <f>G181</f>
        <v>65.21</v>
      </c>
      <c r="G192" s="19">
        <f t="shared" si="0"/>
        <v>667.664</v>
      </c>
    </row>
    <row r="194" ht="12">
      <c r="A194" s="2" t="s">
        <v>379</v>
      </c>
    </row>
    <row r="195" ht="12">
      <c r="A195" s="2" t="s">
        <v>380</v>
      </c>
    </row>
    <row r="197" ht="12">
      <c r="A197" s="8" t="s">
        <v>381</v>
      </c>
    </row>
    <row r="198" ht="12">
      <c r="A198" s="2" t="s">
        <v>382</v>
      </c>
    </row>
    <row r="199" ht="12">
      <c r="A199" s="2" t="s">
        <v>383</v>
      </c>
    </row>
    <row r="201" ht="12">
      <c r="A201" s="2" t="s">
        <v>384</v>
      </c>
    </row>
    <row r="202" ht="12">
      <c r="A202" s="2" t="s">
        <v>385</v>
      </c>
    </row>
    <row r="203" ht="12">
      <c r="A203" s="2" t="s">
        <v>386</v>
      </c>
    </row>
    <row r="204" ht="12">
      <c r="A204" s="2" t="s">
        <v>387</v>
      </c>
    </row>
    <row r="205" ht="12">
      <c r="A205" s="2" t="s">
        <v>388</v>
      </c>
    </row>
    <row r="206" ht="12">
      <c r="A206" s="2" t="s">
        <v>392</v>
      </c>
    </row>
    <row r="208" spans="1:5" ht="12">
      <c r="A208" s="2" t="s">
        <v>393</v>
      </c>
      <c r="E208" s="2" t="s">
        <v>394</v>
      </c>
    </row>
    <row r="209" spans="1:5" ht="12">
      <c r="A209" s="2" t="s">
        <v>395</v>
      </c>
      <c r="E209" s="2" t="s">
        <v>395</v>
      </c>
    </row>
    <row r="210" spans="1:7" ht="12">
      <c r="A210" s="2" t="s">
        <v>338</v>
      </c>
      <c r="B210" s="12">
        <f>B109</f>
        <v>33</v>
      </c>
      <c r="C210" s="2" t="s">
        <v>42</v>
      </c>
      <c r="E210" s="2" t="s">
        <v>338</v>
      </c>
      <c r="F210" s="12">
        <f>B109</f>
        <v>33</v>
      </c>
      <c r="G210" s="2" t="s">
        <v>42</v>
      </c>
    </row>
    <row r="211" spans="1:7" ht="12">
      <c r="A211" s="2" t="s">
        <v>339</v>
      </c>
      <c r="B211" s="2">
        <v>0</v>
      </c>
      <c r="C211" s="2" t="s">
        <v>42</v>
      </c>
      <c r="E211" s="2" t="s">
        <v>339</v>
      </c>
      <c r="F211" s="2">
        <v>0</v>
      </c>
      <c r="G211" s="2" t="s">
        <v>42</v>
      </c>
    </row>
    <row r="212" spans="1:7" ht="12">
      <c r="A212" s="2" t="s">
        <v>396</v>
      </c>
      <c r="B212" s="12">
        <f>B33</f>
        <v>2.073</v>
      </c>
      <c r="C212" s="2" t="s">
        <v>102</v>
      </c>
      <c r="E212" s="2" t="s">
        <v>396</v>
      </c>
      <c r="F212" s="12">
        <f>B72</f>
        <v>2.4379999999999997</v>
      </c>
      <c r="G212" s="2" t="s">
        <v>102</v>
      </c>
    </row>
    <row r="213" spans="1:6" ht="12">
      <c r="A213" s="2" t="s">
        <v>1417</v>
      </c>
      <c r="B213" s="2" t="s">
        <v>397</v>
      </c>
      <c r="E213" s="2" t="s">
        <v>1417</v>
      </c>
      <c r="F213" s="2" t="s">
        <v>397</v>
      </c>
    </row>
    <row r="214" spans="2:7" ht="12">
      <c r="B214" s="2">
        <f>B212*B210*(0.5-B211/B210)</f>
        <v>34.204499999999996</v>
      </c>
      <c r="C214" s="2" t="s">
        <v>398</v>
      </c>
      <c r="F214" s="2">
        <f>ROUND(F212*F210*(0.5-F211/F210),3)</f>
        <v>40.227</v>
      </c>
      <c r="G214" s="2" t="s">
        <v>398</v>
      </c>
    </row>
    <row r="215" spans="1:5" ht="12">
      <c r="A215" s="8">
        <v>3</v>
      </c>
      <c r="E215" s="8">
        <v>3</v>
      </c>
    </row>
    <row r="216" spans="1:7" ht="12">
      <c r="A216" s="2" t="s">
        <v>339</v>
      </c>
      <c r="B216" s="2">
        <f>B110</f>
        <v>4.125</v>
      </c>
      <c r="C216" s="2" t="s">
        <v>42</v>
      </c>
      <c r="E216" s="2" t="s">
        <v>339</v>
      </c>
      <c r="F216" s="2">
        <f>B110</f>
        <v>4.125</v>
      </c>
      <c r="G216" s="2" t="s">
        <v>42</v>
      </c>
    </row>
    <row r="217" spans="1:7" ht="12">
      <c r="A217" s="2" t="s">
        <v>399</v>
      </c>
      <c r="B217" s="2">
        <f>ROUND(B212*B210*(0.5-B216/B210),3)</f>
        <v>25.653</v>
      </c>
      <c r="C217" s="2" t="s">
        <v>398</v>
      </c>
      <c r="E217" s="2" t="s">
        <v>399</v>
      </c>
      <c r="F217" s="2">
        <f>ROUND(F212*F210*(0.5-F216/F210),3)</f>
        <v>30.17</v>
      </c>
      <c r="G217" s="2" t="s">
        <v>398</v>
      </c>
    </row>
    <row r="218" spans="1:5" ht="12">
      <c r="A218" s="8">
        <v>2</v>
      </c>
      <c r="E218" s="8">
        <v>2</v>
      </c>
    </row>
    <row r="219" spans="1:7" ht="12">
      <c r="A219" s="2" t="s">
        <v>339</v>
      </c>
      <c r="B219" s="2">
        <f>B112</f>
        <v>8.25</v>
      </c>
      <c r="C219" s="2" t="s">
        <v>42</v>
      </c>
      <c r="E219" s="2" t="s">
        <v>339</v>
      </c>
      <c r="F219" s="2">
        <f>B112</f>
        <v>8.25</v>
      </c>
      <c r="G219" s="2" t="s">
        <v>42</v>
      </c>
    </row>
    <row r="220" spans="1:7" ht="12">
      <c r="A220" s="2" t="s">
        <v>399</v>
      </c>
      <c r="B220" s="2">
        <f>ROUND(B212*B210*(0.5-B219/B210),3)</f>
        <v>17.102</v>
      </c>
      <c r="C220" s="2" t="s">
        <v>398</v>
      </c>
      <c r="E220" s="2" t="s">
        <v>399</v>
      </c>
      <c r="F220" s="2">
        <f>ROUND(F212*F210*(0.5-F219/F210),3)</f>
        <v>20.114</v>
      </c>
      <c r="G220" s="2" t="s">
        <v>398</v>
      </c>
    </row>
    <row r="221" spans="1:5" ht="12">
      <c r="A221" s="8">
        <v>1</v>
      </c>
      <c r="E221" s="8">
        <v>1</v>
      </c>
    </row>
    <row r="222" spans="1:7" ht="12">
      <c r="A222" s="2" t="s">
        <v>339</v>
      </c>
      <c r="B222" s="2">
        <f>B114</f>
        <v>16.5</v>
      </c>
      <c r="C222" s="2" t="s">
        <v>42</v>
      </c>
      <c r="E222" s="2" t="s">
        <v>339</v>
      </c>
      <c r="F222" s="2">
        <f>B114</f>
        <v>16.5</v>
      </c>
      <c r="G222" s="2" t="s">
        <v>42</v>
      </c>
    </row>
    <row r="223" spans="1:7" ht="12">
      <c r="A223" s="2" t="s">
        <v>399</v>
      </c>
      <c r="B223" s="2">
        <f>ROUND(B212*B210*(0.5-B222/B210),3)</f>
        <v>0</v>
      </c>
      <c r="C223" s="2" t="s">
        <v>398</v>
      </c>
      <c r="E223" s="2" t="s">
        <v>399</v>
      </c>
      <c r="F223" s="2">
        <f>ROUND(F212*F210*(0.5-F222/F210),3)</f>
        <v>0</v>
      </c>
      <c r="G223" s="2" t="s">
        <v>398</v>
      </c>
    </row>
    <row r="225" spans="1:5" ht="12">
      <c r="A225" s="2" t="s">
        <v>400</v>
      </c>
      <c r="E225" s="2" t="s">
        <v>400</v>
      </c>
    </row>
    <row r="226" spans="1:5" ht="12">
      <c r="A226" s="2" t="s">
        <v>401</v>
      </c>
      <c r="E226" s="2" t="s">
        <v>401</v>
      </c>
    </row>
    <row r="227" spans="1:7" ht="12">
      <c r="A227" s="2" t="s">
        <v>402</v>
      </c>
      <c r="B227" s="12">
        <f>B109</f>
        <v>33</v>
      </c>
      <c r="C227" s="2" t="s">
        <v>403</v>
      </c>
      <c r="E227" s="2" t="s">
        <v>402</v>
      </c>
      <c r="F227" s="12">
        <f>B244</f>
        <v>33</v>
      </c>
      <c r="G227" s="2" t="s">
        <v>403</v>
      </c>
    </row>
    <row r="228" spans="1:7" ht="12">
      <c r="A228" s="2" t="s">
        <v>404</v>
      </c>
      <c r="B228" s="2">
        <v>0</v>
      </c>
      <c r="C228" s="2" t="s">
        <v>403</v>
      </c>
      <c r="E228" s="2" t="s">
        <v>404</v>
      </c>
      <c r="F228" s="2">
        <v>0</v>
      </c>
      <c r="G228" s="2" t="s">
        <v>403</v>
      </c>
    </row>
    <row r="229" spans="1:7" ht="12">
      <c r="A229" s="2" t="s">
        <v>405</v>
      </c>
      <c r="B229" s="12">
        <f>G45</f>
        <v>0.534</v>
      </c>
      <c r="C229" s="2" t="s">
        <v>1422</v>
      </c>
      <c r="E229" s="2" t="s">
        <v>405</v>
      </c>
      <c r="F229" s="12">
        <f>H89</f>
        <v>0.805</v>
      </c>
      <c r="G229" s="2" t="s">
        <v>1422</v>
      </c>
    </row>
    <row r="230" spans="1:5" ht="12">
      <c r="A230" s="2" t="s">
        <v>406</v>
      </c>
      <c r="E230" s="2" t="s">
        <v>406</v>
      </c>
    </row>
    <row r="231" spans="2:7" ht="12">
      <c r="B231" s="2">
        <f>ROUND(B229*B227/2*(1-B228/B227)^2,3)</f>
        <v>8.811</v>
      </c>
      <c r="C231" s="2" t="s">
        <v>398</v>
      </c>
      <c r="F231" s="2">
        <f>ROUND(F229*F227/2*(1-F228/F227)^2,3)</f>
        <v>13.283</v>
      </c>
      <c r="G231" s="2" t="s">
        <v>398</v>
      </c>
    </row>
    <row r="232" spans="1:5" ht="12">
      <c r="A232" s="8">
        <v>3</v>
      </c>
      <c r="E232" s="8">
        <v>3</v>
      </c>
    </row>
    <row r="233" spans="1:7" ht="12">
      <c r="A233" s="2" t="s">
        <v>339</v>
      </c>
      <c r="B233" s="2">
        <f>B110</f>
        <v>4.125</v>
      </c>
      <c r="C233" s="2" t="s">
        <v>42</v>
      </c>
      <c r="E233" s="2" t="s">
        <v>339</v>
      </c>
      <c r="F233" s="2">
        <f>B110</f>
        <v>4.125</v>
      </c>
      <c r="G233" s="2" t="s">
        <v>42</v>
      </c>
    </row>
    <row r="234" spans="1:7" ht="12">
      <c r="A234" s="2" t="s">
        <v>407</v>
      </c>
      <c r="B234" s="2">
        <f>ROUND(B229*B227/2*(1-B233/B227)^2,3)</f>
        <v>6.746</v>
      </c>
      <c r="C234" s="2" t="s">
        <v>398</v>
      </c>
      <c r="E234" s="2" t="s">
        <v>407</v>
      </c>
      <c r="F234" s="2">
        <f>ROUND(F229*F227/2*(1-F233/F227)^2,3)</f>
        <v>10.169</v>
      </c>
      <c r="G234" s="2" t="s">
        <v>398</v>
      </c>
    </row>
    <row r="235" spans="1:5" ht="12">
      <c r="A235" s="8">
        <v>2</v>
      </c>
      <c r="E235" s="8">
        <v>2</v>
      </c>
    </row>
    <row r="236" spans="1:7" ht="12">
      <c r="A236" s="2" t="s">
        <v>339</v>
      </c>
      <c r="B236" s="2">
        <f>B112</f>
        <v>8.25</v>
      </c>
      <c r="C236" s="2" t="s">
        <v>42</v>
      </c>
      <c r="E236" s="2" t="s">
        <v>339</v>
      </c>
      <c r="F236" s="2">
        <f>B112</f>
        <v>8.25</v>
      </c>
      <c r="G236" s="2" t="s">
        <v>42</v>
      </c>
    </row>
    <row r="237" spans="1:7" ht="12">
      <c r="A237" s="2" t="s">
        <v>407</v>
      </c>
      <c r="B237" s="2">
        <f>ROUND(B229*B227/2*(1-B236/B227)^2,3)</f>
        <v>4.956</v>
      </c>
      <c r="C237" s="2" t="s">
        <v>398</v>
      </c>
      <c r="E237" s="2" t="s">
        <v>407</v>
      </c>
      <c r="F237" s="2">
        <f>ROUND(F229*F227/2*(1-F236/F227)^2,3)</f>
        <v>7.471</v>
      </c>
      <c r="G237" s="2" t="s">
        <v>398</v>
      </c>
    </row>
    <row r="238" spans="1:5" ht="12">
      <c r="A238" s="8">
        <v>1</v>
      </c>
      <c r="E238" s="8">
        <v>1</v>
      </c>
    </row>
    <row r="239" spans="1:7" ht="12">
      <c r="A239" s="2" t="s">
        <v>339</v>
      </c>
      <c r="B239" s="2">
        <f>B114</f>
        <v>16.5</v>
      </c>
      <c r="C239" s="2" t="s">
        <v>42</v>
      </c>
      <c r="E239" s="2" t="s">
        <v>339</v>
      </c>
      <c r="F239" s="2">
        <f>B114</f>
        <v>16.5</v>
      </c>
      <c r="G239" s="2" t="s">
        <v>42</v>
      </c>
    </row>
    <row r="240" spans="1:7" ht="12">
      <c r="A240" s="2" t="s">
        <v>407</v>
      </c>
      <c r="B240" s="2">
        <f>ROUND(B229*B227/2*(1-B239/B227)^2,3)</f>
        <v>2.203</v>
      </c>
      <c r="C240" s="2" t="s">
        <v>398</v>
      </c>
      <c r="E240" s="2" t="s">
        <v>407</v>
      </c>
      <c r="F240" s="2">
        <f>ROUND(F229*F227/2*(1-F239/F227)^2,3)</f>
        <v>3.321</v>
      </c>
      <c r="G240" s="2" t="s">
        <v>398</v>
      </c>
    </row>
    <row r="242" spans="1:5" ht="12">
      <c r="A242" s="2" t="s">
        <v>400</v>
      </c>
      <c r="E242" s="2" t="s">
        <v>400</v>
      </c>
    </row>
    <row r="243" spans="1:5" ht="12">
      <c r="A243" s="2" t="s">
        <v>408</v>
      </c>
      <c r="E243" s="2" t="s">
        <v>408</v>
      </c>
    </row>
    <row r="244" spans="1:7" ht="12">
      <c r="A244" s="2" t="s">
        <v>402</v>
      </c>
      <c r="B244" s="12">
        <f>B109</f>
        <v>33</v>
      </c>
      <c r="C244" s="2" t="s">
        <v>403</v>
      </c>
      <c r="E244" s="2" t="s">
        <v>402</v>
      </c>
      <c r="F244" s="12">
        <f>F227</f>
        <v>33</v>
      </c>
      <c r="G244" s="2" t="s">
        <v>403</v>
      </c>
    </row>
    <row r="245" spans="1:7" ht="12">
      <c r="A245" s="2" t="s">
        <v>409</v>
      </c>
      <c r="B245" s="64">
        <v>10</v>
      </c>
      <c r="C245" s="2" t="s">
        <v>403</v>
      </c>
      <c r="E245" s="2" t="s">
        <v>409</v>
      </c>
      <c r="F245" s="64">
        <v>10</v>
      </c>
      <c r="G245" s="2" t="s">
        <v>403</v>
      </c>
    </row>
    <row r="246" spans="1:7" ht="12">
      <c r="A246" s="2" t="s">
        <v>404</v>
      </c>
      <c r="B246" s="2">
        <v>0</v>
      </c>
      <c r="C246" s="2" t="s">
        <v>403</v>
      </c>
      <c r="E246" s="2" t="s">
        <v>404</v>
      </c>
      <c r="F246" s="2">
        <v>0</v>
      </c>
      <c r="G246" s="2" t="s">
        <v>403</v>
      </c>
    </row>
    <row r="247" spans="1:7" ht="12">
      <c r="A247" s="9" t="s">
        <v>410</v>
      </c>
      <c r="B247" s="12">
        <f>G43</f>
        <v>1.831</v>
      </c>
      <c r="C247" s="2" t="s">
        <v>1422</v>
      </c>
      <c r="E247" s="9" t="s">
        <v>410</v>
      </c>
      <c r="F247" s="12">
        <f>H87</f>
        <v>2.76</v>
      </c>
      <c r="G247" s="2" t="s">
        <v>1422</v>
      </c>
    </row>
    <row r="248" spans="1:5" ht="12">
      <c r="A248" s="2" t="s">
        <v>411</v>
      </c>
      <c r="E248" s="2" t="s">
        <v>411</v>
      </c>
    </row>
    <row r="249" spans="2:7" ht="12">
      <c r="B249" s="2">
        <f>ROUND(B247*B245*(B244-B246-B245/2)/B244,3)</f>
        <v>15.536</v>
      </c>
      <c r="C249" s="2" t="s">
        <v>398</v>
      </c>
      <c r="F249" s="2">
        <f>ROUND(F247*F245*(F244-F246-F245/2)/F244,3)</f>
        <v>23.418</v>
      </c>
      <c r="G249" s="2" t="s">
        <v>398</v>
      </c>
    </row>
    <row r="250" spans="1:5" ht="12">
      <c r="A250" s="8">
        <v>3</v>
      </c>
      <c r="E250" s="8">
        <v>3</v>
      </c>
    </row>
    <row r="251" spans="1:7" ht="12">
      <c r="A251" s="2" t="s">
        <v>339</v>
      </c>
      <c r="B251" s="2">
        <f>B233</f>
        <v>4.125</v>
      </c>
      <c r="C251" s="2" t="s">
        <v>42</v>
      </c>
      <c r="E251" s="2" t="s">
        <v>339</v>
      </c>
      <c r="F251" s="2">
        <f>F233</f>
        <v>4.125</v>
      </c>
      <c r="G251" s="2" t="s">
        <v>42</v>
      </c>
    </row>
    <row r="252" spans="1:7" ht="12">
      <c r="A252" s="2" t="s">
        <v>412</v>
      </c>
      <c r="B252" s="2">
        <f>ROUND(B247*B245*(B244-B251-B245/2)/B244,3)</f>
        <v>13.247</v>
      </c>
      <c r="C252" s="2" t="s">
        <v>398</v>
      </c>
      <c r="E252" s="2" t="s">
        <v>412</v>
      </c>
      <c r="F252" s="2">
        <f>ROUND(F247*F245*(F244-F251-F245/2)/F244,3)</f>
        <v>19.968</v>
      </c>
      <c r="G252" s="2" t="s">
        <v>398</v>
      </c>
    </row>
    <row r="253" spans="1:5" ht="12">
      <c r="A253" s="8">
        <v>2</v>
      </c>
      <c r="E253" s="8">
        <v>2</v>
      </c>
    </row>
    <row r="254" spans="1:7" ht="12">
      <c r="A254" s="2" t="s">
        <v>339</v>
      </c>
      <c r="B254" s="2">
        <f>B236</f>
        <v>8.25</v>
      </c>
      <c r="C254" s="2" t="s">
        <v>42</v>
      </c>
      <c r="E254" s="2" t="s">
        <v>339</v>
      </c>
      <c r="F254" s="2">
        <f>F236</f>
        <v>8.25</v>
      </c>
      <c r="G254" s="2" t="s">
        <v>42</v>
      </c>
    </row>
    <row r="255" spans="1:7" ht="12">
      <c r="A255" s="2" t="s">
        <v>412</v>
      </c>
      <c r="B255" s="2">
        <f>ROUND(B247*B245*(B244-B254-B245/2)/B244,3)</f>
        <v>10.958</v>
      </c>
      <c r="C255" s="2" t="s">
        <v>398</v>
      </c>
      <c r="E255" s="2" t="s">
        <v>412</v>
      </c>
      <c r="F255" s="2">
        <f>ROUND(F247*F245*(F244-F254-F245/2)/F244,3)</f>
        <v>16.518</v>
      </c>
      <c r="G255" s="2" t="s">
        <v>398</v>
      </c>
    </row>
    <row r="256" spans="1:5" ht="12">
      <c r="A256" s="8">
        <v>1</v>
      </c>
      <c r="E256" s="8">
        <v>1</v>
      </c>
    </row>
    <row r="257" spans="1:7" ht="12">
      <c r="A257" s="2" t="s">
        <v>339</v>
      </c>
      <c r="B257" s="2">
        <f>B239</f>
        <v>16.5</v>
      </c>
      <c r="C257" s="2" t="s">
        <v>42</v>
      </c>
      <c r="E257" s="2" t="s">
        <v>339</v>
      </c>
      <c r="F257" s="2">
        <f>F239</f>
        <v>16.5</v>
      </c>
      <c r="G257" s="2" t="s">
        <v>42</v>
      </c>
    </row>
    <row r="258" spans="1:7" ht="12">
      <c r="A258" s="2" t="s">
        <v>412</v>
      </c>
      <c r="B258" s="2">
        <f>ROUND(B247*B245*(B244-B257-B245/2)/B244,3)</f>
        <v>6.381</v>
      </c>
      <c r="C258" s="2" t="s">
        <v>398</v>
      </c>
      <c r="E258" s="2" t="s">
        <v>412</v>
      </c>
      <c r="F258" s="2">
        <f>ROUND(F247*F245*(F244-F257-F245/2)/F244,3)</f>
        <v>9.618</v>
      </c>
      <c r="G258" s="2" t="s">
        <v>398</v>
      </c>
    </row>
    <row r="260" ht="12">
      <c r="A260" s="2" t="s">
        <v>413</v>
      </c>
    </row>
    <row r="261" spans="1:5" ht="12">
      <c r="A261" s="2" t="s">
        <v>414</v>
      </c>
      <c r="C261" s="2" t="s">
        <v>415</v>
      </c>
      <c r="D261" s="2" t="s">
        <v>367</v>
      </c>
      <c r="E261" s="12">
        <f>E174</f>
        <v>0.241</v>
      </c>
    </row>
    <row r="264" ht="12">
      <c r="A264" s="2" t="s">
        <v>416</v>
      </c>
    </row>
    <row r="265" spans="2:3" ht="12">
      <c r="B265" s="2">
        <f>ROUND((B249+B231)*E261,3)</f>
        <v>5.868</v>
      </c>
      <c r="C265" s="2" t="s">
        <v>398</v>
      </c>
    </row>
    <row r="266" ht="12">
      <c r="A266" s="2">
        <v>3</v>
      </c>
    </row>
    <row r="267" spans="1:3" ht="12">
      <c r="A267" s="2" t="s">
        <v>416</v>
      </c>
      <c r="B267" s="2">
        <f>ROUND((B234+B252)*E261,3)</f>
        <v>4.818</v>
      </c>
      <c r="C267" s="2" t="s">
        <v>398</v>
      </c>
    </row>
    <row r="268" ht="12">
      <c r="A268" s="2">
        <v>2</v>
      </c>
    </row>
    <row r="269" spans="1:3" ht="12">
      <c r="A269" s="2" t="s">
        <v>416</v>
      </c>
      <c r="B269" s="2">
        <f>ROUND((B237+B255)*E261,3)</f>
        <v>3.835</v>
      </c>
      <c r="C269" s="2" t="s">
        <v>398</v>
      </c>
    </row>
    <row r="270" ht="12">
      <c r="A270" s="2">
        <v>1</v>
      </c>
    </row>
    <row r="271" spans="1:3" ht="12">
      <c r="A271" s="2" t="s">
        <v>416</v>
      </c>
      <c r="B271" s="2">
        <f>ROUND((B258+B240)*E261,3)</f>
        <v>2.069</v>
      </c>
      <c r="C271" s="2" t="s">
        <v>398</v>
      </c>
    </row>
    <row r="273" ht="12">
      <c r="A273" s="2" t="s">
        <v>378</v>
      </c>
    </row>
    <row r="274" spans="1:5" ht="12">
      <c r="A274" s="2" t="s">
        <v>417</v>
      </c>
      <c r="C274" s="2" t="s">
        <v>415</v>
      </c>
      <c r="D274" s="2" t="s">
        <v>367</v>
      </c>
      <c r="E274" s="12">
        <f>E261</f>
        <v>0.241</v>
      </c>
    </row>
    <row r="277" ht="12">
      <c r="A277" s="2" t="s">
        <v>416</v>
      </c>
    </row>
    <row r="278" spans="2:3" ht="12">
      <c r="B278" s="2">
        <f>ROUND((F249+F231)*E274,3)</f>
        <v>8.845</v>
      </c>
      <c r="C278" s="2" t="s">
        <v>398</v>
      </c>
    </row>
    <row r="279" ht="12">
      <c r="A279" s="2">
        <v>3</v>
      </c>
    </row>
    <row r="280" spans="1:3" ht="12">
      <c r="A280" s="2" t="s">
        <v>416</v>
      </c>
      <c r="B280" s="2">
        <f>ROUND((F252+F234)*E261,3)</f>
        <v>7.263</v>
      </c>
      <c r="C280" s="2" t="s">
        <v>398</v>
      </c>
    </row>
    <row r="281" ht="12">
      <c r="A281" s="2">
        <v>2</v>
      </c>
    </row>
    <row r="282" spans="1:3" ht="12">
      <c r="A282" s="2" t="s">
        <v>416</v>
      </c>
      <c r="B282" s="2">
        <f>ROUND((F255+F237)*E261,3)</f>
        <v>5.781</v>
      </c>
      <c r="C282" s="2" t="s">
        <v>398</v>
      </c>
    </row>
    <row r="283" ht="12">
      <c r="A283" s="2">
        <v>1</v>
      </c>
    </row>
    <row r="284" spans="1:3" ht="12">
      <c r="A284" s="2" t="s">
        <v>416</v>
      </c>
      <c r="B284" s="2">
        <f>ROUND((F258+F240)*E261,3)</f>
        <v>3.118</v>
      </c>
      <c r="C284" s="2" t="s">
        <v>398</v>
      </c>
    </row>
    <row r="286" spans="1:3" ht="12">
      <c r="A286" s="8" t="s">
        <v>418</v>
      </c>
      <c r="B286" s="8"/>
      <c r="C286" s="8"/>
    </row>
    <row r="288" spans="1:7" ht="12">
      <c r="A288" s="19"/>
      <c r="B288" s="19"/>
      <c r="C288" s="19"/>
      <c r="D288" s="21"/>
      <c r="E288" s="21" t="s">
        <v>419</v>
      </c>
      <c r="F288" s="21"/>
      <c r="G288" s="19" t="s">
        <v>420</v>
      </c>
    </row>
    <row r="289" spans="1:7" ht="12">
      <c r="A289" s="19"/>
      <c r="B289" s="19" t="s">
        <v>372</v>
      </c>
      <c r="C289" s="19" t="s">
        <v>1323</v>
      </c>
      <c r="D289" s="19" t="s">
        <v>373</v>
      </c>
      <c r="E289" s="19" t="s">
        <v>374</v>
      </c>
      <c r="F289" s="19" t="s">
        <v>375</v>
      </c>
      <c r="G289" s="19" t="s">
        <v>421</v>
      </c>
    </row>
    <row r="290" spans="1:7" ht="12">
      <c r="A290" s="19" t="s">
        <v>422</v>
      </c>
      <c r="B290" s="19">
        <v>0</v>
      </c>
      <c r="C290" s="19">
        <f>B214</f>
        <v>34.204499999999996</v>
      </c>
      <c r="D290" s="19">
        <f>B249</f>
        <v>15.536</v>
      </c>
      <c r="E290" s="19">
        <f>B231</f>
        <v>8.811</v>
      </c>
      <c r="F290" s="19">
        <f>B265</f>
        <v>5.868</v>
      </c>
      <c r="G290" s="19">
        <f aca="true" t="shared" si="1" ref="G290:G297">SUM(C290:F290)</f>
        <v>64.4195</v>
      </c>
    </row>
    <row r="291" spans="1:7" ht="12">
      <c r="A291" s="19"/>
      <c r="B291" s="19">
        <v>3</v>
      </c>
      <c r="C291" s="19">
        <f>B217</f>
        <v>25.653</v>
      </c>
      <c r="D291" s="19">
        <f>B252</f>
        <v>13.247</v>
      </c>
      <c r="E291" s="19">
        <f>B234</f>
        <v>6.746</v>
      </c>
      <c r="F291" s="19">
        <f>B267</f>
        <v>4.818</v>
      </c>
      <c r="G291" s="19">
        <f t="shared" si="1"/>
        <v>50.464</v>
      </c>
    </row>
    <row r="292" spans="1:7" ht="12">
      <c r="A292" s="19"/>
      <c r="B292" s="19">
        <v>2</v>
      </c>
      <c r="C292" s="19">
        <f>B220</f>
        <v>17.102</v>
      </c>
      <c r="D292" s="19">
        <f>B255</f>
        <v>10.958</v>
      </c>
      <c r="E292" s="19">
        <f>B237</f>
        <v>4.956</v>
      </c>
      <c r="F292" s="19">
        <f>B269</f>
        <v>3.835</v>
      </c>
      <c r="G292" s="19">
        <f t="shared" si="1"/>
        <v>36.851000000000006</v>
      </c>
    </row>
    <row r="293" spans="1:7" ht="12">
      <c r="A293" s="19"/>
      <c r="B293" s="19">
        <v>1</v>
      </c>
      <c r="C293" s="19">
        <f>B223</f>
        <v>0</v>
      </c>
      <c r="D293" s="19">
        <f>B258</f>
        <v>6.381</v>
      </c>
      <c r="E293" s="19">
        <f>B240</f>
        <v>2.203</v>
      </c>
      <c r="F293" s="19">
        <f>B271</f>
        <v>2.069</v>
      </c>
      <c r="G293" s="19">
        <f t="shared" si="1"/>
        <v>10.652999999999999</v>
      </c>
    </row>
    <row r="294" spans="1:7" ht="12">
      <c r="A294" s="19" t="s">
        <v>423</v>
      </c>
      <c r="B294" s="19">
        <v>0</v>
      </c>
      <c r="C294" s="19">
        <f>F214</f>
        <v>40.227</v>
      </c>
      <c r="D294" s="19">
        <f>F249</f>
        <v>23.418</v>
      </c>
      <c r="E294" s="19">
        <f>F231</f>
        <v>13.283</v>
      </c>
      <c r="F294" s="19">
        <f>B278</f>
        <v>8.845</v>
      </c>
      <c r="G294" s="19">
        <f t="shared" si="1"/>
        <v>85.773</v>
      </c>
    </row>
    <row r="295" spans="1:7" ht="12">
      <c r="A295" s="19"/>
      <c r="B295" s="19">
        <v>3</v>
      </c>
      <c r="C295" s="19">
        <f>F217</f>
        <v>30.17</v>
      </c>
      <c r="D295" s="19">
        <f>F252</f>
        <v>19.968</v>
      </c>
      <c r="E295" s="19">
        <f>F234</f>
        <v>10.169</v>
      </c>
      <c r="F295" s="19">
        <f>B280</f>
        <v>7.263</v>
      </c>
      <c r="G295" s="19">
        <f t="shared" si="1"/>
        <v>67.57000000000001</v>
      </c>
    </row>
    <row r="296" spans="1:7" ht="12">
      <c r="A296" s="19"/>
      <c r="B296" s="19">
        <v>2</v>
      </c>
      <c r="C296" s="19">
        <f>F220</f>
        <v>20.114</v>
      </c>
      <c r="D296" s="19">
        <f>F255</f>
        <v>16.518</v>
      </c>
      <c r="E296" s="19">
        <f>F237</f>
        <v>7.471</v>
      </c>
      <c r="F296" s="19">
        <f>B282</f>
        <v>5.781</v>
      </c>
      <c r="G296" s="19">
        <f t="shared" si="1"/>
        <v>49.88400000000001</v>
      </c>
    </row>
    <row r="297" spans="1:7" ht="12">
      <c r="A297" s="19"/>
      <c r="B297" s="19">
        <v>1</v>
      </c>
      <c r="C297" s="19">
        <f>F223</f>
        <v>0</v>
      </c>
      <c r="D297" s="19">
        <f>F258</f>
        <v>9.618</v>
      </c>
      <c r="E297" s="19">
        <f>F240</f>
        <v>3.321</v>
      </c>
      <c r="F297" s="19">
        <f>B284</f>
        <v>3.118</v>
      </c>
      <c r="G297" s="19">
        <f t="shared" si="1"/>
        <v>16.057</v>
      </c>
    </row>
    <row r="299" spans="1:2" ht="12">
      <c r="A299" s="3" t="s">
        <v>424</v>
      </c>
      <c r="B299" s="3"/>
    </row>
    <row r="300" spans="1:7" ht="12">
      <c r="A300" s="2" t="s">
        <v>1305</v>
      </c>
      <c r="B300" s="2" t="s">
        <v>624</v>
      </c>
      <c r="D300" s="2">
        <f>E302</f>
        <v>504.96</v>
      </c>
      <c r="E300" s="5" t="str">
        <f>IF(D300&lt;F300,"&lt;","&gt;")</f>
        <v>&lt;</v>
      </c>
      <c r="F300" s="2">
        <f>E396</f>
        <v>667.664</v>
      </c>
      <c r="G300" s="57" t="str">
        <f>IF(D300&lt;F300,"中桁のMmaxを使用","外桁のMmaxを使用")</f>
        <v>中桁のMmaxを使用</v>
      </c>
    </row>
    <row r="301" spans="1:3" ht="12">
      <c r="A301" s="9" t="s">
        <v>425</v>
      </c>
      <c r="B301" s="2">
        <f>B114</f>
        <v>16.5</v>
      </c>
      <c r="C301" s="2" t="s">
        <v>352</v>
      </c>
    </row>
    <row r="302" spans="1:7" ht="12">
      <c r="A302" s="2" t="s">
        <v>426</v>
      </c>
      <c r="E302" s="2">
        <f>G189</f>
        <v>504.96</v>
      </c>
      <c r="F302" s="2" t="s">
        <v>427</v>
      </c>
      <c r="G302" s="2">
        <f>E302*10^5</f>
        <v>50496000</v>
      </c>
    </row>
    <row r="303" spans="1:6" ht="12">
      <c r="A303" s="2" t="s">
        <v>428</v>
      </c>
      <c r="E303" s="64">
        <v>1400</v>
      </c>
      <c r="F303" s="2" t="s">
        <v>858</v>
      </c>
    </row>
    <row r="304" spans="1:9" ht="12">
      <c r="A304" s="2" t="s">
        <v>429</v>
      </c>
      <c r="C304" s="2" t="s">
        <v>1405</v>
      </c>
      <c r="E304" s="2">
        <f>ROUND(SQRT(G302/(E303*E305)*1.1),0)</f>
        <v>199</v>
      </c>
      <c r="F304" s="2" t="s">
        <v>430</v>
      </c>
      <c r="G304" s="2" t="s">
        <v>431</v>
      </c>
      <c r="H304" s="64">
        <v>220</v>
      </c>
      <c r="I304" s="2" t="s">
        <v>432</v>
      </c>
    </row>
    <row r="305" spans="1:9" ht="12">
      <c r="A305" s="2" t="s">
        <v>433</v>
      </c>
      <c r="D305" s="2">
        <f>ROUND(SQRT(G302/(E303*E305)*1.1),0)</f>
        <v>199</v>
      </c>
      <c r="E305" s="64">
        <v>1</v>
      </c>
      <c r="F305" s="2" t="s">
        <v>625</v>
      </c>
      <c r="H305" s="2">
        <f>IF(D300&lt;F300,ROUND(SQRT(G396/(E397*E399)*1.1),0),ROUND(SQRT(G302/(E303*E305)*1.1),0))</f>
        <v>229</v>
      </c>
      <c r="I305" s="2" t="s">
        <v>626</v>
      </c>
    </row>
    <row r="306" ht="12">
      <c r="A306" s="2" t="s">
        <v>434</v>
      </c>
    </row>
    <row r="307" ht="12">
      <c r="A307" s="2" t="s">
        <v>435</v>
      </c>
    </row>
    <row r="309" ht="12">
      <c r="A309" s="2" t="s">
        <v>436</v>
      </c>
    </row>
    <row r="310" spans="1:4" ht="12">
      <c r="A310" s="2" t="s">
        <v>437</v>
      </c>
      <c r="D310" s="2">
        <f>ROUND(E302*10^5/(E303*H304)-(H304*E305)/6,3)</f>
        <v>127.281</v>
      </c>
    </row>
    <row r="311" ht="12">
      <c r="I311" s="2" t="s">
        <v>438</v>
      </c>
    </row>
    <row r="312" spans="2:10" ht="12">
      <c r="B312" s="4" t="s">
        <v>1096</v>
      </c>
      <c r="C312" s="4"/>
      <c r="D312" s="4" t="s">
        <v>1097</v>
      </c>
      <c r="F312" s="2" t="s">
        <v>1098</v>
      </c>
      <c r="H312" s="2" t="s">
        <v>840</v>
      </c>
      <c r="J312" s="2" t="s">
        <v>1099</v>
      </c>
    </row>
    <row r="313" spans="1:10" ht="12">
      <c r="A313" s="2" t="s">
        <v>1100</v>
      </c>
      <c r="B313" s="64">
        <v>510</v>
      </c>
      <c r="C313" s="5" t="s">
        <v>1101</v>
      </c>
      <c r="D313" s="64">
        <v>36</v>
      </c>
      <c r="E313" s="5" t="s">
        <v>1102</v>
      </c>
      <c r="F313" s="2">
        <f>B313*D313/100</f>
        <v>183.6</v>
      </c>
      <c r="H313" s="12">
        <f>($B$470/2+D313/2)/10</f>
        <v>111.8</v>
      </c>
      <c r="J313" s="2">
        <f>F313*H313^2</f>
        <v>2294860.4639999997</v>
      </c>
    </row>
    <row r="314" spans="1:11" ht="12">
      <c r="A314" s="2" t="s">
        <v>1103</v>
      </c>
      <c r="B314" s="12">
        <f>H304*10</f>
        <v>2200</v>
      </c>
      <c r="C314" s="5" t="s">
        <v>1104</v>
      </c>
      <c r="D314" s="12">
        <f>E305*10</f>
        <v>10</v>
      </c>
      <c r="E314" s="5" t="s">
        <v>1105</v>
      </c>
      <c r="F314" s="2">
        <f>B314*D314/100</f>
        <v>220</v>
      </c>
      <c r="G314" s="2">
        <f>F314/2</f>
        <v>110</v>
      </c>
      <c r="I314" s="5" t="s">
        <v>1106</v>
      </c>
      <c r="J314" s="2">
        <f>ROUND(D314*B314^3/12/10000,0)</f>
        <v>887333</v>
      </c>
      <c r="K314" s="2" t="s">
        <v>1107</v>
      </c>
    </row>
    <row r="315" spans="1:10" ht="12">
      <c r="A315" s="2" t="s">
        <v>1426</v>
      </c>
      <c r="B315" s="12">
        <f>B313</f>
        <v>510</v>
      </c>
      <c r="C315" s="5" t="s">
        <v>806</v>
      </c>
      <c r="D315" s="12">
        <f>D313</f>
        <v>36</v>
      </c>
      <c r="E315" s="5" t="s">
        <v>1108</v>
      </c>
      <c r="F315" s="2">
        <f>B315*D315/100</f>
        <v>183.6</v>
      </c>
      <c r="H315" s="12">
        <f>($B$470/2+D315/2)/10</f>
        <v>111.8</v>
      </c>
      <c r="J315" s="2">
        <f>F315*H315^2</f>
        <v>2294860.4639999997</v>
      </c>
    </row>
    <row r="316" spans="1:10" ht="12">
      <c r="A316" s="2" t="s">
        <v>1109</v>
      </c>
      <c r="B316" s="2">
        <f>B313/10</f>
        <v>51</v>
      </c>
      <c r="D316" s="2">
        <f>D313/10</f>
        <v>3.6</v>
      </c>
      <c r="F316" s="2">
        <f>SUM(F313:F315)</f>
        <v>587.2</v>
      </c>
      <c r="H316" s="5" t="s">
        <v>439</v>
      </c>
      <c r="I316" s="5" t="s">
        <v>1110</v>
      </c>
      <c r="J316" s="2">
        <f>SUM(J313:J315)</f>
        <v>5477053.927999999</v>
      </c>
    </row>
    <row r="317" spans="2:4" ht="12">
      <c r="B317" s="2">
        <f aca="true" t="shared" si="2" ref="B317:D318">B314/10</f>
        <v>220</v>
      </c>
      <c r="D317" s="2">
        <f t="shared" si="2"/>
        <v>1</v>
      </c>
    </row>
    <row r="318" spans="2:4" ht="12">
      <c r="B318" s="2">
        <f t="shared" si="2"/>
        <v>51</v>
      </c>
      <c r="D318" s="2">
        <f t="shared" si="2"/>
        <v>3.6</v>
      </c>
    </row>
    <row r="319" ht="12">
      <c r="A319" s="2" t="s">
        <v>440</v>
      </c>
    </row>
    <row r="320" spans="1:3" ht="12">
      <c r="A320" s="2" t="s">
        <v>441</v>
      </c>
      <c r="B320" s="12">
        <f>ROUND((B314/2+D313)/10,3)</f>
        <v>113.6</v>
      </c>
      <c r="C320" s="2" t="s">
        <v>442</v>
      </c>
    </row>
    <row r="321" ht="12">
      <c r="A321" s="2" t="s">
        <v>443</v>
      </c>
    </row>
    <row r="322" spans="2:3" ht="12">
      <c r="B322" s="2">
        <f>ROUND(J316/B320,0)</f>
        <v>48214</v>
      </c>
      <c r="C322" s="2" t="s">
        <v>1528</v>
      </c>
    </row>
    <row r="323" ht="12">
      <c r="A323" s="2" t="s">
        <v>444</v>
      </c>
    </row>
    <row r="324" ht="12">
      <c r="A324" s="2" t="s">
        <v>445</v>
      </c>
    </row>
    <row r="325" spans="2:5" ht="12">
      <c r="B325" s="2">
        <f>ROUND(E302*10^5/B322,0)</f>
        <v>1047</v>
      </c>
      <c r="C325" s="5" t="str">
        <f>IF(B325&lt;D325,"&lt;","&gt;")</f>
        <v>&lt;</v>
      </c>
      <c r="D325" s="2">
        <f>E303</f>
        <v>1400</v>
      </c>
      <c r="E325" s="34" t="str">
        <f>IF(B325&lt;D325,"OK","NG")</f>
        <v>OK</v>
      </c>
    </row>
    <row r="327" ht="12">
      <c r="A327" s="2" t="s">
        <v>446</v>
      </c>
    </row>
    <row r="328" spans="1:4" ht="12">
      <c r="A328" s="2" t="s">
        <v>447</v>
      </c>
      <c r="C328" s="2">
        <f>ROUND(E303*B322,0)</f>
        <v>67499600</v>
      </c>
      <c r="D328" s="2" t="s">
        <v>448</v>
      </c>
    </row>
    <row r="329" spans="3:4" ht="12">
      <c r="C329" s="2">
        <f>ROUND(C328/10^5,3)</f>
        <v>674.996</v>
      </c>
      <c r="D329" s="2" t="s">
        <v>449</v>
      </c>
    </row>
    <row r="332" spans="1:3" ht="12">
      <c r="A332" s="9" t="s">
        <v>450</v>
      </c>
      <c r="B332" s="2">
        <f>B112</f>
        <v>8.25</v>
      </c>
      <c r="C332" s="2" t="s">
        <v>352</v>
      </c>
    </row>
    <row r="333" spans="1:8" ht="12">
      <c r="A333" s="2" t="s">
        <v>426</v>
      </c>
      <c r="E333" s="2">
        <f>G188</f>
        <v>378.72</v>
      </c>
      <c r="F333" s="2" t="s">
        <v>427</v>
      </c>
      <c r="G333" s="2">
        <f>E333*10^5</f>
        <v>37872000</v>
      </c>
      <c r="H333" s="2" t="s">
        <v>1504</v>
      </c>
    </row>
    <row r="334" spans="1:6" ht="12">
      <c r="A334" s="2" t="s">
        <v>428</v>
      </c>
      <c r="E334" s="12">
        <f>E303</f>
        <v>1400</v>
      </c>
      <c r="F334" s="2" t="s">
        <v>858</v>
      </c>
    </row>
    <row r="335" spans="1:9" ht="12">
      <c r="A335" s="2" t="s">
        <v>429</v>
      </c>
      <c r="C335" s="2" t="s">
        <v>1405</v>
      </c>
      <c r="E335" s="2">
        <f>ROUND(SQRT(G333/(E334*E336)*1.1),0)</f>
        <v>173</v>
      </c>
      <c r="F335" s="2" t="s">
        <v>430</v>
      </c>
      <c r="G335" s="2" t="s">
        <v>431</v>
      </c>
      <c r="H335" s="12">
        <f>H304</f>
        <v>220</v>
      </c>
      <c r="I335" s="2" t="s">
        <v>432</v>
      </c>
    </row>
    <row r="336" spans="1:5" ht="12">
      <c r="A336" s="2" t="s">
        <v>433</v>
      </c>
      <c r="E336" s="12">
        <f>E305</f>
        <v>1</v>
      </c>
    </row>
    <row r="337" ht="12">
      <c r="A337" s="2" t="s">
        <v>434</v>
      </c>
    </row>
    <row r="338" ht="12">
      <c r="A338" s="2" t="s">
        <v>435</v>
      </c>
    </row>
    <row r="340" ht="12">
      <c r="A340" s="2" t="s">
        <v>436</v>
      </c>
    </row>
    <row r="341" spans="1:4" ht="12">
      <c r="A341" s="2" t="s">
        <v>437</v>
      </c>
      <c r="D341" s="2">
        <f>ROUND(E333*10^5/(E334*H335)-(H335*E336)/6,3)</f>
        <v>86.294</v>
      </c>
    </row>
    <row r="342" ht="12">
      <c r="I342" s="2" t="s">
        <v>438</v>
      </c>
    </row>
    <row r="343" spans="2:10" ht="12">
      <c r="B343" s="4" t="s">
        <v>1096</v>
      </c>
      <c r="C343" s="4"/>
      <c r="D343" s="4" t="s">
        <v>1097</v>
      </c>
      <c r="F343" s="2" t="s">
        <v>1098</v>
      </c>
      <c r="H343" s="2" t="s">
        <v>840</v>
      </c>
      <c r="J343" s="2" t="s">
        <v>1099</v>
      </c>
    </row>
    <row r="344" spans="1:10" ht="12">
      <c r="A344" s="2" t="s">
        <v>1100</v>
      </c>
      <c r="B344" s="64">
        <v>400</v>
      </c>
      <c r="C344" s="5" t="s">
        <v>1101</v>
      </c>
      <c r="D344" s="64">
        <v>36</v>
      </c>
      <c r="E344" s="5" t="s">
        <v>1102</v>
      </c>
      <c r="F344" s="2">
        <f>B344*D344/100</f>
        <v>144</v>
      </c>
      <c r="H344" s="12">
        <f>($B$470/2+D344/2)/10</f>
        <v>111.8</v>
      </c>
      <c r="J344" s="2">
        <f>F344*H344^2</f>
        <v>1799890.56</v>
      </c>
    </row>
    <row r="345" spans="1:11" ht="12">
      <c r="A345" s="2" t="s">
        <v>1103</v>
      </c>
      <c r="B345" s="12">
        <f>H335*10</f>
        <v>2200</v>
      </c>
      <c r="C345" s="5" t="s">
        <v>1104</v>
      </c>
      <c r="D345" s="12">
        <f>E336*10</f>
        <v>10</v>
      </c>
      <c r="E345" s="5" t="s">
        <v>1105</v>
      </c>
      <c r="F345" s="2">
        <f>B345*D345/100</f>
        <v>220</v>
      </c>
      <c r="G345" s="2">
        <f>F345/2</f>
        <v>110</v>
      </c>
      <c r="I345" s="5" t="s">
        <v>1106</v>
      </c>
      <c r="J345" s="2">
        <f>ROUND(D345*B345^3/12/10000,0)</f>
        <v>887333</v>
      </c>
      <c r="K345" s="2" t="s">
        <v>1107</v>
      </c>
    </row>
    <row r="346" spans="1:10" ht="12">
      <c r="A346" s="2" t="s">
        <v>1426</v>
      </c>
      <c r="B346" s="12">
        <f>B344</f>
        <v>400</v>
      </c>
      <c r="C346" s="5" t="s">
        <v>806</v>
      </c>
      <c r="D346" s="12">
        <f>D344</f>
        <v>36</v>
      </c>
      <c r="E346" s="5" t="s">
        <v>1108</v>
      </c>
      <c r="F346" s="2">
        <f>B346*D346/100</f>
        <v>144</v>
      </c>
      <c r="H346" s="12">
        <f>($B$470/2+D346/2)/10</f>
        <v>111.8</v>
      </c>
      <c r="J346" s="2">
        <f>F346*H346^2</f>
        <v>1799890.56</v>
      </c>
    </row>
    <row r="347" spans="1:10" ht="12">
      <c r="A347" s="2" t="s">
        <v>1109</v>
      </c>
      <c r="B347" s="2">
        <f>B344/10</f>
        <v>40</v>
      </c>
      <c r="D347" s="2">
        <f>D344/10</f>
        <v>3.6</v>
      </c>
      <c r="F347" s="2">
        <f>SUM(F344:F346)</f>
        <v>508</v>
      </c>
      <c r="H347" s="5" t="s">
        <v>439</v>
      </c>
      <c r="I347" s="5" t="s">
        <v>1110</v>
      </c>
      <c r="J347" s="2">
        <f>SUM(J344:J346)</f>
        <v>4487114.12</v>
      </c>
    </row>
    <row r="348" spans="2:4" ht="12">
      <c r="B348" s="2">
        <f aca="true" t="shared" si="3" ref="B348:D349">B345/10</f>
        <v>220</v>
      </c>
      <c r="D348" s="2">
        <f t="shared" si="3"/>
        <v>1</v>
      </c>
    </row>
    <row r="349" spans="2:4" ht="12">
      <c r="B349" s="2">
        <f t="shared" si="3"/>
        <v>40</v>
      </c>
      <c r="D349" s="2">
        <f t="shared" si="3"/>
        <v>3.6</v>
      </c>
    </row>
    <row r="350" ht="12">
      <c r="A350" s="2" t="s">
        <v>440</v>
      </c>
    </row>
    <row r="351" spans="1:3" ht="12">
      <c r="A351" s="2" t="s">
        <v>441</v>
      </c>
      <c r="B351" s="12">
        <f>ROUND((B345/2+D344)/10,3)</f>
        <v>113.6</v>
      </c>
      <c r="C351" s="2" t="s">
        <v>442</v>
      </c>
    </row>
    <row r="352" ht="12">
      <c r="A352" s="2" t="s">
        <v>443</v>
      </c>
    </row>
    <row r="353" spans="2:3" ht="12">
      <c r="B353" s="2">
        <f>ROUND(J347/B351,0)</f>
        <v>39499</v>
      </c>
      <c r="C353" s="2" t="s">
        <v>1528</v>
      </c>
    </row>
    <row r="354" ht="12">
      <c r="A354" s="2" t="s">
        <v>444</v>
      </c>
    </row>
    <row r="355" ht="12">
      <c r="A355" s="2" t="s">
        <v>445</v>
      </c>
    </row>
    <row r="356" spans="2:5" ht="12">
      <c r="B356" s="2">
        <f>ROUND(E333*10^5/B353,0)</f>
        <v>959</v>
      </c>
      <c r="C356" s="5" t="str">
        <f>IF(B356&lt;D356,"&lt;","&gt;")</f>
        <v>&lt;</v>
      </c>
      <c r="D356" s="2">
        <f>E334</f>
        <v>1400</v>
      </c>
      <c r="E356" s="34" t="str">
        <f>IF(B356&lt;D356,"OK","NG")</f>
        <v>OK</v>
      </c>
    </row>
    <row r="358" ht="12">
      <c r="A358" s="2" t="s">
        <v>446</v>
      </c>
    </row>
    <row r="359" spans="1:4" ht="12">
      <c r="A359" s="2" t="s">
        <v>447</v>
      </c>
      <c r="C359" s="2">
        <f>ROUND(E334*B353,0)</f>
        <v>55298600</v>
      </c>
      <c r="D359" s="2" t="s">
        <v>448</v>
      </c>
    </row>
    <row r="360" spans="3:4" ht="12">
      <c r="C360" s="2">
        <f>ROUND(C359/10^5,3)</f>
        <v>552.986</v>
      </c>
      <c r="D360" s="2" t="s">
        <v>449</v>
      </c>
    </row>
    <row r="363" spans="1:3" ht="12">
      <c r="A363" s="9" t="s">
        <v>451</v>
      </c>
      <c r="B363" s="2">
        <f>B110</f>
        <v>4.125</v>
      </c>
      <c r="C363" s="2" t="s">
        <v>452</v>
      </c>
    </row>
    <row r="364" spans="1:7" ht="12">
      <c r="A364" s="2" t="s">
        <v>426</v>
      </c>
      <c r="E364" s="2">
        <f>G187</f>
        <v>220.92</v>
      </c>
      <c r="F364" s="2" t="s">
        <v>427</v>
      </c>
      <c r="G364" s="2">
        <f>E364*10^5</f>
        <v>22092000</v>
      </c>
    </row>
    <row r="365" spans="1:6" ht="12">
      <c r="A365" s="2" t="s">
        <v>428</v>
      </c>
      <c r="E365" s="12">
        <f>E334</f>
        <v>1400</v>
      </c>
      <c r="F365" s="2" t="s">
        <v>858</v>
      </c>
    </row>
    <row r="366" spans="1:9" ht="12">
      <c r="A366" s="2" t="s">
        <v>429</v>
      </c>
      <c r="C366" s="2" t="s">
        <v>1405</v>
      </c>
      <c r="E366" s="2">
        <f>ROUND(SQRT(G364/(E365*E367)*1.1),0)</f>
        <v>132</v>
      </c>
      <c r="F366" s="2" t="s">
        <v>430</v>
      </c>
      <c r="G366" s="2" t="s">
        <v>431</v>
      </c>
      <c r="H366" s="12">
        <f>H304</f>
        <v>220</v>
      </c>
      <c r="I366" s="2" t="s">
        <v>432</v>
      </c>
    </row>
    <row r="367" spans="1:5" ht="12">
      <c r="A367" s="2" t="s">
        <v>433</v>
      </c>
      <c r="E367" s="12">
        <f>E305</f>
        <v>1</v>
      </c>
    </row>
    <row r="368" ht="12">
      <c r="A368" s="2" t="s">
        <v>434</v>
      </c>
    </row>
    <row r="369" ht="12">
      <c r="A369" s="2" t="s">
        <v>435</v>
      </c>
    </row>
    <row r="371" ht="12">
      <c r="A371" s="2" t="s">
        <v>436</v>
      </c>
    </row>
    <row r="372" spans="1:4" ht="12">
      <c r="A372" s="2" t="s">
        <v>437</v>
      </c>
      <c r="D372" s="2">
        <f>ROUND(E364*10^5/(E365*H366)-(H366*E367)/6,3)</f>
        <v>35.061</v>
      </c>
    </row>
    <row r="373" ht="12">
      <c r="I373" s="2" t="s">
        <v>438</v>
      </c>
    </row>
    <row r="374" spans="2:10" ht="12">
      <c r="B374" s="4" t="s">
        <v>1096</v>
      </c>
      <c r="C374" s="4"/>
      <c r="D374" s="4" t="s">
        <v>1097</v>
      </c>
      <c r="F374" s="2" t="s">
        <v>1098</v>
      </c>
      <c r="H374" s="2" t="s">
        <v>840</v>
      </c>
      <c r="J374" s="2" t="s">
        <v>1099</v>
      </c>
    </row>
    <row r="375" spans="1:10" ht="12">
      <c r="A375" s="2" t="s">
        <v>1100</v>
      </c>
      <c r="B375" s="64">
        <v>280</v>
      </c>
      <c r="C375" s="5" t="s">
        <v>1101</v>
      </c>
      <c r="D375" s="64">
        <v>36</v>
      </c>
      <c r="E375" s="5" t="s">
        <v>1102</v>
      </c>
      <c r="F375" s="2">
        <f>B375*D375/100</f>
        <v>100.8</v>
      </c>
      <c r="H375" s="12">
        <f>($B$470/2+D375/2)/10</f>
        <v>111.8</v>
      </c>
      <c r="J375" s="2">
        <f>F375*H375^2</f>
        <v>1259923.392</v>
      </c>
    </row>
    <row r="376" spans="1:11" ht="12">
      <c r="A376" s="2" t="s">
        <v>1103</v>
      </c>
      <c r="B376" s="12">
        <f>H366*10</f>
        <v>2200</v>
      </c>
      <c r="C376" s="5" t="s">
        <v>1104</v>
      </c>
      <c r="D376" s="12">
        <f>E367*10</f>
        <v>10</v>
      </c>
      <c r="E376" s="5" t="s">
        <v>1105</v>
      </c>
      <c r="F376" s="2">
        <f>B376*D376/100</f>
        <v>220</v>
      </c>
      <c r="G376" s="2">
        <f>F376/2</f>
        <v>110</v>
      </c>
      <c r="I376" s="5" t="s">
        <v>1106</v>
      </c>
      <c r="J376" s="2">
        <f>ROUND(D376*B376^3/12/10000,0)</f>
        <v>887333</v>
      </c>
      <c r="K376" s="2" t="s">
        <v>1107</v>
      </c>
    </row>
    <row r="377" spans="1:10" ht="12">
      <c r="A377" s="2" t="s">
        <v>1426</v>
      </c>
      <c r="B377" s="12">
        <f>B375</f>
        <v>280</v>
      </c>
      <c r="C377" s="5" t="s">
        <v>806</v>
      </c>
      <c r="D377" s="12">
        <f>D375</f>
        <v>36</v>
      </c>
      <c r="E377" s="5" t="s">
        <v>1108</v>
      </c>
      <c r="F377" s="2">
        <f>B377*D377/100</f>
        <v>100.8</v>
      </c>
      <c r="H377" s="12">
        <f>($B$470/2+D377/2)/10</f>
        <v>111.8</v>
      </c>
      <c r="J377" s="2">
        <f>F377*H377^2</f>
        <v>1259923.392</v>
      </c>
    </row>
    <row r="378" spans="1:10" ht="12">
      <c r="A378" s="2" t="s">
        <v>1109</v>
      </c>
      <c r="B378" s="2">
        <f>B375/10</f>
        <v>28</v>
      </c>
      <c r="D378" s="2">
        <f>D375/10</f>
        <v>3.6</v>
      </c>
      <c r="F378" s="2">
        <f>SUM(F375:F377)</f>
        <v>421.6</v>
      </c>
      <c r="H378" s="5" t="s">
        <v>439</v>
      </c>
      <c r="I378" s="5" t="s">
        <v>1110</v>
      </c>
      <c r="J378" s="2">
        <f>SUM(J375:J377)</f>
        <v>3407179.784</v>
      </c>
    </row>
    <row r="379" spans="2:4" ht="12">
      <c r="B379" s="2">
        <f aca="true" t="shared" si="4" ref="B379:D380">B376/10</f>
        <v>220</v>
      </c>
      <c r="D379" s="2">
        <f t="shared" si="4"/>
        <v>1</v>
      </c>
    </row>
    <row r="380" spans="2:4" ht="12">
      <c r="B380" s="2">
        <f t="shared" si="4"/>
        <v>28</v>
      </c>
      <c r="D380" s="2">
        <f t="shared" si="4"/>
        <v>3.6</v>
      </c>
    </row>
    <row r="381" ht="12">
      <c r="A381" s="2" t="s">
        <v>440</v>
      </c>
    </row>
    <row r="382" spans="1:3" ht="12">
      <c r="A382" s="2" t="s">
        <v>441</v>
      </c>
      <c r="B382" s="12">
        <f>ROUND((B376/2+D375)/10,3)</f>
        <v>113.6</v>
      </c>
      <c r="C382" s="2" t="s">
        <v>442</v>
      </c>
    </row>
    <row r="383" ht="12">
      <c r="A383" s="2" t="s">
        <v>443</v>
      </c>
    </row>
    <row r="384" spans="2:3" ht="12">
      <c r="B384" s="2">
        <f>ROUND(J378/B382,0)</f>
        <v>29993</v>
      </c>
      <c r="C384" s="2" t="s">
        <v>1528</v>
      </c>
    </row>
    <row r="385" ht="12">
      <c r="A385" s="2" t="s">
        <v>444</v>
      </c>
    </row>
    <row r="386" ht="12">
      <c r="A386" s="2" t="s">
        <v>445</v>
      </c>
    </row>
    <row r="387" spans="2:5" ht="12">
      <c r="B387" s="2">
        <f>ROUND(E364*10^5/B384,0)</f>
        <v>737</v>
      </c>
      <c r="C387" s="5" t="str">
        <f>IF(B387&lt;D387,"&lt;","&gt;")</f>
        <v>&lt;</v>
      </c>
      <c r="D387" s="2">
        <f>E365</f>
        <v>1400</v>
      </c>
      <c r="E387" s="34" t="str">
        <f>IF(B387&lt;D387,"OK","NG")</f>
        <v>OK</v>
      </c>
    </row>
    <row r="389" ht="12">
      <c r="A389" s="2" t="s">
        <v>446</v>
      </c>
    </row>
    <row r="390" spans="1:4" ht="12">
      <c r="A390" s="2" t="s">
        <v>447</v>
      </c>
      <c r="C390" s="2">
        <f>ROUND(E365*B384,0)</f>
        <v>41990200</v>
      </c>
      <c r="D390" s="2" t="s">
        <v>448</v>
      </c>
    </row>
    <row r="391" spans="3:4" ht="12">
      <c r="C391" s="2">
        <f>ROUND(C390/10^5,3)</f>
        <v>419.902</v>
      </c>
      <c r="D391" s="2" t="s">
        <v>449</v>
      </c>
    </row>
    <row r="394" ht="12">
      <c r="A394" s="8" t="s">
        <v>453</v>
      </c>
    </row>
    <row r="395" spans="1:3" ht="12">
      <c r="A395" s="9" t="s">
        <v>454</v>
      </c>
      <c r="B395" s="2">
        <f>B114</f>
        <v>16.5</v>
      </c>
      <c r="C395" s="2" t="s">
        <v>352</v>
      </c>
    </row>
    <row r="396" spans="1:7" ht="12">
      <c r="A396" s="2" t="s">
        <v>426</v>
      </c>
      <c r="E396" s="2">
        <f>G192</f>
        <v>667.664</v>
      </c>
      <c r="F396" s="2" t="s">
        <v>427</v>
      </c>
      <c r="G396" s="2">
        <f>E396*10^5</f>
        <v>66766400</v>
      </c>
    </row>
    <row r="397" spans="1:6" ht="12">
      <c r="A397" s="2" t="s">
        <v>428</v>
      </c>
      <c r="E397" s="12">
        <f>E303</f>
        <v>1400</v>
      </c>
      <c r="F397" s="2" t="s">
        <v>858</v>
      </c>
    </row>
    <row r="398" spans="1:9" ht="12">
      <c r="A398" s="2" t="s">
        <v>429</v>
      </c>
      <c r="C398" s="2" t="s">
        <v>1405</v>
      </c>
      <c r="E398" s="2">
        <f>ROUND(SQRT(G396/(E397*E399)*1.1),0)</f>
        <v>229</v>
      </c>
      <c r="F398" s="2" t="s">
        <v>430</v>
      </c>
      <c r="G398" s="2" t="s">
        <v>431</v>
      </c>
      <c r="H398" s="12">
        <f>H366</f>
        <v>220</v>
      </c>
      <c r="I398" s="2" t="s">
        <v>432</v>
      </c>
    </row>
    <row r="399" spans="1:6" ht="12">
      <c r="A399" s="2" t="s">
        <v>433</v>
      </c>
      <c r="E399" s="12">
        <f>E305</f>
        <v>1</v>
      </c>
      <c r="F399" s="2" t="s">
        <v>430</v>
      </c>
    </row>
    <row r="400" ht="12">
      <c r="A400" s="2" t="s">
        <v>434</v>
      </c>
    </row>
    <row r="401" ht="12">
      <c r="A401" s="2" t="s">
        <v>435</v>
      </c>
    </row>
    <row r="403" ht="12">
      <c r="A403" s="2" t="s">
        <v>436</v>
      </c>
    </row>
    <row r="404" spans="1:4" ht="12">
      <c r="A404" s="2" t="s">
        <v>437</v>
      </c>
      <c r="D404" s="2">
        <f>ROUND(E396*10^5/(E397*H398)-(H398*E399)/6,3)</f>
        <v>180.107</v>
      </c>
    </row>
    <row r="405" ht="12">
      <c r="I405" s="2" t="s">
        <v>438</v>
      </c>
    </row>
    <row r="406" spans="2:10" ht="12">
      <c r="B406" s="4" t="s">
        <v>1096</v>
      </c>
      <c r="C406" s="4"/>
      <c r="D406" s="4" t="s">
        <v>1097</v>
      </c>
      <c r="F406" s="2" t="s">
        <v>1098</v>
      </c>
      <c r="H406" s="2" t="s">
        <v>840</v>
      </c>
      <c r="J406" s="2" t="s">
        <v>1099</v>
      </c>
    </row>
    <row r="407" spans="1:10" ht="12">
      <c r="A407" s="2" t="s">
        <v>1100</v>
      </c>
      <c r="B407" s="64">
        <v>510</v>
      </c>
      <c r="C407" s="5" t="s">
        <v>1101</v>
      </c>
      <c r="D407" s="64">
        <v>36</v>
      </c>
      <c r="E407" s="5" t="s">
        <v>1102</v>
      </c>
      <c r="F407" s="2">
        <f>B407*D407/100</f>
        <v>183.6</v>
      </c>
      <c r="H407" s="12">
        <f>($B$470/2+D407/2)/10</f>
        <v>111.8</v>
      </c>
      <c r="J407" s="2">
        <f>F407*H407^2</f>
        <v>2294860.4639999997</v>
      </c>
    </row>
    <row r="408" spans="1:11" ht="12">
      <c r="A408" s="2" t="s">
        <v>1103</v>
      </c>
      <c r="B408" s="12">
        <f>H398*10</f>
        <v>2200</v>
      </c>
      <c r="C408" s="5" t="s">
        <v>1104</v>
      </c>
      <c r="D408" s="12">
        <f>E399*10</f>
        <v>10</v>
      </c>
      <c r="E408" s="5" t="s">
        <v>1105</v>
      </c>
      <c r="F408" s="2">
        <f>B408*D408/100</f>
        <v>220</v>
      </c>
      <c r="G408" s="2">
        <f>F408/2</f>
        <v>110</v>
      </c>
      <c r="I408" s="5" t="s">
        <v>1106</v>
      </c>
      <c r="J408" s="2">
        <f>ROUND(D408*B408^3/12/10000,0)</f>
        <v>887333</v>
      </c>
      <c r="K408" s="2" t="s">
        <v>1107</v>
      </c>
    </row>
    <row r="409" spans="1:10" ht="12">
      <c r="A409" s="2" t="s">
        <v>1426</v>
      </c>
      <c r="B409" s="12">
        <f>B407</f>
        <v>510</v>
      </c>
      <c r="C409" s="5" t="s">
        <v>806</v>
      </c>
      <c r="D409" s="12">
        <f>D407</f>
        <v>36</v>
      </c>
      <c r="E409" s="5" t="s">
        <v>1108</v>
      </c>
      <c r="F409" s="2">
        <f>B409*D409/100</f>
        <v>183.6</v>
      </c>
      <c r="H409" s="12">
        <f>($B$470/2+D409/2)/10</f>
        <v>111.8</v>
      </c>
      <c r="J409" s="2">
        <f>F409*H409^2</f>
        <v>2294860.4639999997</v>
      </c>
    </row>
    <row r="410" spans="1:10" ht="12">
      <c r="A410" s="2" t="s">
        <v>1109</v>
      </c>
      <c r="B410" s="2">
        <f>B407/10</f>
        <v>51</v>
      </c>
      <c r="D410" s="2">
        <f>D407/10</f>
        <v>3.6</v>
      </c>
      <c r="F410" s="2">
        <f>SUM(F407:F409)</f>
        <v>587.2</v>
      </c>
      <c r="H410" s="5" t="s">
        <v>439</v>
      </c>
      <c r="I410" s="5" t="s">
        <v>1110</v>
      </c>
      <c r="J410" s="2">
        <f>SUM(J407:J409)</f>
        <v>5477053.927999999</v>
      </c>
    </row>
    <row r="411" spans="2:4" ht="12">
      <c r="B411" s="2">
        <f>B408/10</f>
        <v>220</v>
      </c>
      <c r="D411" s="2">
        <f>D408/10</f>
        <v>1</v>
      </c>
    </row>
    <row r="412" spans="2:4" ht="12">
      <c r="B412" s="2">
        <f>B409/10</f>
        <v>51</v>
      </c>
      <c r="D412" s="2">
        <f>D409/10</f>
        <v>3.6</v>
      </c>
    </row>
    <row r="413" ht="12">
      <c r="A413" s="2" t="s">
        <v>440</v>
      </c>
    </row>
    <row r="414" spans="1:3" ht="12">
      <c r="A414" s="2" t="s">
        <v>441</v>
      </c>
      <c r="B414" s="12">
        <f>ROUND((B408/2+D407)/10,3)</f>
        <v>113.6</v>
      </c>
      <c r="C414" s="2" t="s">
        <v>442</v>
      </c>
    </row>
    <row r="415" ht="12">
      <c r="A415" s="2" t="s">
        <v>443</v>
      </c>
    </row>
    <row r="416" spans="2:3" ht="12">
      <c r="B416" s="2">
        <f>ROUND(J410/B414,0)</f>
        <v>48214</v>
      </c>
      <c r="C416" s="2" t="s">
        <v>1528</v>
      </c>
    </row>
    <row r="417" ht="12">
      <c r="A417" s="2" t="s">
        <v>444</v>
      </c>
    </row>
    <row r="418" ht="12">
      <c r="A418" s="2" t="s">
        <v>445</v>
      </c>
    </row>
    <row r="419" spans="2:5" ht="12">
      <c r="B419" s="2">
        <f>ROUND(E396*10^5/B416,0)</f>
        <v>1385</v>
      </c>
      <c r="C419" s="5" t="str">
        <f>IF(B419&lt;D419,"&lt;","&gt;")</f>
        <v>&lt;</v>
      </c>
      <c r="D419" s="2">
        <f>E397</f>
        <v>1400</v>
      </c>
      <c r="E419" s="34" t="str">
        <f>IF(B419&lt;D419,"OK","NG")</f>
        <v>OK</v>
      </c>
    </row>
    <row r="421" ht="12">
      <c r="A421" s="2" t="s">
        <v>446</v>
      </c>
    </row>
    <row r="422" spans="1:4" ht="12">
      <c r="A422" s="2" t="s">
        <v>447</v>
      </c>
      <c r="C422" s="2">
        <f>ROUND(E397*B416,0)</f>
        <v>67499600</v>
      </c>
      <c r="D422" s="2" t="s">
        <v>448</v>
      </c>
    </row>
    <row r="423" spans="3:4" ht="12">
      <c r="C423" s="2">
        <f>ROUND(C422/10^5,3)</f>
        <v>674.996</v>
      </c>
      <c r="D423" s="2" t="s">
        <v>449</v>
      </c>
    </row>
    <row r="426" spans="1:3" ht="12">
      <c r="A426" s="9" t="s">
        <v>450</v>
      </c>
      <c r="B426" s="2">
        <f>B112</f>
        <v>8.25</v>
      </c>
      <c r="C426" s="2" t="s">
        <v>352</v>
      </c>
    </row>
    <row r="427" spans="1:7" ht="12">
      <c r="A427" s="2" t="s">
        <v>426</v>
      </c>
      <c r="E427" s="2">
        <f>G191</f>
        <v>500.74699999999996</v>
      </c>
      <c r="F427" s="2" t="s">
        <v>427</v>
      </c>
      <c r="G427" s="2">
        <f>E427*10^5</f>
        <v>50074699.99999999</v>
      </c>
    </row>
    <row r="428" spans="1:6" ht="12">
      <c r="A428" s="2" t="s">
        <v>428</v>
      </c>
      <c r="E428" s="12">
        <v>1400</v>
      </c>
      <c r="F428" s="2" t="s">
        <v>858</v>
      </c>
    </row>
    <row r="429" spans="1:9" ht="12">
      <c r="A429" s="2" t="s">
        <v>429</v>
      </c>
      <c r="C429" s="2" t="s">
        <v>1405</v>
      </c>
      <c r="E429" s="2">
        <f>ROUND(SQRT(G427/(E428*E430)*1.1),0)</f>
        <v>198</v>
      </c>
      <c r="F429" s="2" t="s">
        <v>430</v>
      </c>
      <c r="G429" s="2" t="s">
        <v>431</v>
      </c>
      <c r="H429" s="12">
        <f>H398</f>
        <v>220</v>
      </c>
      <c r="I429" s="2" t="s">
        <v>432</v>
      </c>
    </row>
    <row r="430" spans="1:5" ht="12">
      <c r="A430" s="2" t="s">
        <v>433</v>
      </c>
      <c r="E430" s="12">
        <f>E399</f>
        <v>1</v>
      </c>
    </row>
    <row r="431" ht="12">
      <c r="A431" s="2" t="s">
        <v>434</v>
      </c>
    </row>
    <row r="432" ht="12">
      <c r="A432" s="2" t="s">
        <v>435</v>
      </c>
    </row>
    <row r="434" ht="12">
      <c r="A434" s="2" t="s">
        <v>436</v>
      </c>
    </row>
    <row r="435" spans="1:4" ht="12">
      <c r="A435" s="2" t="s">
        <v>437</v>
      </c>
      <c r="D435" s="2">
        <f>ROUND(E427*10^5/(E428*H429)-(H429*E430)/6,3)</f>
        <v>125.914</v>
      </c>
    </row>
    <row r="436" ht="12">
      <c r="I436" s="2" t="s">
        <v>438</v>
      </c>
    </row>
    <row r="437" spans="2:10" ht="12">
      <c r="B437" s="4" t="s">
        <v>1096</v>
      </c>
      <c r="C437" s="4"/>
      <c r="D437" s="4" t="s">
        <v>1097</v>
      </c>
      <c r="F437" s="2" t="s">
        <v>1098</v>
      </c>
      <c r="H437" s="2" t="s">
        <v>840</v>
      </c>
      <c r="J437" s="2" t="s">
        <v>1099</v>
      </c>
    </row>
    <row r="438" spans="1:10" ht="12">
      <c r="A438" s="2" t="s">
        <v>1100</v>
      </c>
      <c r="B438" s="64">
        <v>450</v>
      </c>
      <c r="C438" s="5" t="s">
        <v>1101</v>
      </c>
      <c r="D438" s="64">
        <v>36</v>
      </c>
      <c r="E438" s="5" t="s">
        <v>1102</v>
      </c>
      <c r="F438" s="2">
        <f>B438*D438/100</f>
        <v>162</v>
      </c>
      <c r="H438" s="12">
        <f>($B$470/2+D438/2)/10</f>
        <v>111.8</v>
      </c>
      <c r="J438" s="2">
        <f>F438*H438^2</f>
        <v>2024876.88</v>
      </c>
    </row>
    <row r="439" spans="1:11" ht="12">
      <c r="A439" s="2" t="s">
        <v>1103</v>
      </c>
      <c r="B439" s="12">
        <f>H429*10</f>
        <v>2200</v>
      </c>
      <c r="C439" s="5" t="s">
        <v>1104</v>
      </c>
      <c r="D439" s="12">
        <f>E430*10</f>
        <v>10</v>
      </c>
      <c r="E439" s="5" t="s">
        <v>1105</v>
      </c>
      <c r="F439" s="2">
        <f>B439*D439/100</f>
        <v>220</v>
      </c>
      <c r="G439" s="2">
        <f>F439/2</f>
        <v>110</v>
      </c>
      <c r="I439" s="5" t="s">
        <v>1106</v>
      </c>
      <c r="J439" s="2">
        <f>ROUND(D439*B439^3/12/10000,0)</f>
        <v>887333</v>
      </c>
      <c r="K439" s="2" t="s">
        <v>1107</v>
      </c>
    </row>
    <row r="440" spans="1:10" ht="12">
      <c r="A440" s="2" t="s">
        <v>1426</v>
      </c>
      <c r="B440" s="12">
        <f>B438</f>
        <v>450</v>
      </c>
      <c r="C440" s="5" t="s">
        <v>806</v>
      </c>
      <c r="D440" s="12">
        <f>D438</f>
        <v>36</v>
      </c>
      <c r="E440" s="5" t="s">
        <v>1108</v>
      </c>
      <c r="F440" s="2">
        <f>B440*D440/100</f>
        <v>162</v>
      </c>
      <c r="H440" s="12">
        <f>($B$470/2+D440/2)/10</f>
        <v>111.8</v>
      </c>
      <c r="J440" s="2">
        <f>F440*H440^2</f>
        <v>2024876.88</v>
      </c>
    </row>
    <row r="441" spans="1:10" ht="12">
      <c r="A441" s="2" t="s">
        <v>1109</v>
      </c>
      <c r="B441" s="2">
        <f>B438/10</f>
        <v>45</v>
      </c>
      <c r="D441" s="2">
        <f>D438/10</f>
        <v>3.6</v>
      </c>
      <c r="F441" s="2">
        <f>SUM(F438:F440)</f>
        <v>544</v>
      </c>
      <c r="H441" s="5" t="s">
        <v>439</v>
      </c>
      <c r="I441" s="5" t="s">
        <v>1110</v>
      </c>
      <c r="J441" s="2">
        <f>SUM(J438:J440)</f>
        <v>4937086.76</v>
      </c>
    </row>
    <row r="442" spans="2:4" ht="12">
      <c r="B442" s="2">
        <f>B439/10</f>
        <v>220</v>
      </c>
      <c r="D442" s="2">
        <f>D439/10</f>
        <v>1</v>
      </c>
    </row>
    <row r="443" spans="2:4" ht="12">
      <c r="B443" s="2">
        <f>B440/10</f>
        <v>45</v>
      </c>
      <c r="D443" s="2">
        <f>D440/10</f>
        <v>3.6</v>
      </c>
    </row>
    <row r="444" ht="12">
      <c r="A444" s="2" t="s">
        <v>440</v>
      </c>
    </row>
    <row r="445" spans="1:3" ht="12">
      <c r="A445" s="2" t="s">
        <v>441</v>
      </c>
      <c r="B445" s="12">
        <f>ROUND((B439/2+D438)/10,3)</f>
        <v>113.6</v>
      </c>
      <c r="C445" s="2" t="s">
        <v>442</v>
      </c>
    </row>
    <row r="446" ht="12">
      <c r="A446" s="2" t="s">
        <v>443</v>
      </c>
    </row>
    <row r="447" spans="2:3" ht="12">
      <c r="B447" s="2">
        <f>ROUND(J441/B445,0)</f>
        <v>43460</v>
      </c>
      <c r="C447" s="2" t="s">
        <v>1528</v>
      </c>
    </row>
    <row r="448" ht="12">
      <c r="A448" s="2" t="s">
        <v>444</v>
      </c>
    </row>
    <row r="449" ht="12">
      <c r="A449" s="2" t="s">
        <v>445</v>
      </c>
    </row>
    <row r="450" spans="2:5" ht="12">
      <c r="B450" s="2">
        <f>ROUND(E427*10^5/B447,0)</f>
        <v>1152</v>
      </c>
      <c r="C450" s="5" t="str">
        <f>IF(B450&lt;D450,"&lt;","&gt;")</f>
        <v>&lt;</v>
      </c>
      <c r="D450" s="2">
        <f>E428</f>
        <v>1400</v>
      </c>
      <c r="E450" s="34" t="str">
        <f>IF(B450&lt;D450,"OK","NG")</f>
        <v>OK</v>
      </c>
    </row>
    <row r="452" ht="12">
      <c r="A452" s="2" t="s">
        <v>446</v>
      </c>
    </row>
    <row r="453" spans="1:4" ht="12">
      <c r="A453" s="2" t="s">
        <v>447</v>
      </c>
      <c r="C453" s="2">
        <f>ROUND(E428*B447,0)</f>
        <v>60844000</v>
      </c>
      <c r="D453" s="2" t="s">
        <v>448</v>
      </c>
    </row>
    <row r="454" spans="3:4" ht="12">
      <c r="C454" s="2">
        <f>ROUND(C453/10^5,3)</f>
        <v>608.44</v>
      </c>
      <c r="D454" s="2" t="s">
        <v>449</v>
      </c>
    </row>
    <row r="457" spans="1:3" ht="12">
      <c r="A457" s="9" t="s">
        <v>451</v>
      </c>
      <c r="B457" s="2">
        <f>B110</f>
        <v>4.125</v>
      </c>
      <c r="C457" s="2" t="s">
        <v>452</v>
      </c>
    </row>
    <row r="458" spans="1:7" ht="12">
      <c r="A458" s="2" t="s">
        <v>426</v>
      </c>
      <c r="E458" s="2">
        <f>G190</f>
        <v>292.10400000000004</v>
      </c>
      <c r="F458" s="2" t="s">
        <v>427</v>
      </c>
      <c r="G458" s="2">
        <f>E458*10^5</f>
        <v>29210400.000000004</v>
      </c>
    </row>
    <row r="459" spans="1:6" ht="12">
      <c r="A459" s="2" t="s">
        <v>428</v>
      </c>
      <c r="E459" s="12">
        <f>E397</f>
        <v>1400</v>
      </c>
      <c r="F459" s="2" t="s">
        <v>858</v>
      </c>
    </row>
    <row r="460" spans="1:9" ht="12">
      <c r="A460" s="2" t="s">
        <v>429</v>
      </c>
      <c r="C460" s="2" t="s">
        <v>1405</v>
      </c>
      <c r="E460" s="2">
        <f>ROUND(SQRT(G458/(E459*E461)*1.1),0)</f>
        <v>151</v>
      </c>
      <c r="F460" s="2" t="s">
        <v>430</v>
      </c>
      <c r="G460" s="2" t="s">
        <v>431</v>
      </c>
      <c r="H460" s="12">
        <f>H429</f>
        <v>220</v>
      </c>
      <c r="I460" s="2" t="s">
        <v>432</v>
      </c>
    </row>
    <row r="461" spans="1:5" ht="12">
      <c r="A461" s="2" t="s">
        <v>433</v>
      </c>
      <c r="E461" s="12">
        <f>E399</f>
        <v>1</v>
      </c>
    </row>
    <row r="462" ht="12">
      <c r="A462" s="2" t="s">
        <v>434</v>
      </c>
    </row>
    <row r="463" ht="12">
      <c r="A463" s="2" t="s">
        <v>435</v>
      </c>
    </row>
    <row r="465" ht="12">
      <c r="A465" s="2" t="s">
        <v>436</v>
      </c>
    </row>
    <row r="466" spans="1:4" ht="12">
      <c r="A466" s="2" t="s">
        <v>437</v>
      </c>
      <c r="D466" s="2">
        <f>ROUND(E458*10^5/(E459*H460)-(H460*E461)/6,3)</f>
        <v>58.172</v>
      </c>
    </row>
    <row r="467" ht="12">
      <c r="I467" s="2" t="s">
        <v>438</v>
      </c>
    </row>
    <row r="468" spans="2:10" ht="12">
      <c r="B468" s="4" t="s">
        <v>1096</v>
      </c>
      <c r="C468" s="4"/>
      <c r="D468" s="4" t="s">
        <v>1097</v>
      </c>
      <c r="F468" s="2" t="s">
        <v>1098</v>
      </c>
      <c r="H468" s="2" t="s">
        <v>840</v>
      </c>
      <c r="J468" s="2" t="s">
        <v>1099</v>
      </c>
    </row>
    <row r="469" spans="1:10" ht="12">
      <c r="A469" s="2" t="s">
        <v>1100</v>
      </c>
      <c r="B469" s="64">
        <v>280</v>
      </c>
      <c r="C469" s="5" t="s">
        <v>1101</v>
      </c>
      <c r="D469" s="64">
        <v>36</v>
      </c>
      <c r="E469" s="5" t="s">
        <v>1102</v>
      </c>
      <c r="F469" s="2">
        <f>B469*D469/100</f>
        <v>100.8</v>
      </c>
      <c r="H469" s="12">
        <f>($B$470/2+D469/2)/10</f>
        <v>111.8</v>
      </c>
      <c r="J469" s="2">
        <f>F469*H469^2</f>
        <v>1259923.392</v>
      </c>
    </row>
    <row r="470" spans="1:11" ht="12">
      <c r="A470" s="2" t="s">
        <v>1103</v>
      </c>
      <c r="B470" s="12">
        <f>H460*10</f>
        <v>2200</v>
      </c>
      <c r="C470" s="5" t="s">
        <v>1104</v>
      </c>
      <c r="D470" s="12">
        <f>E461*10</f>
        <v>10</v>
      </c>
      <c r="E470" s="5" t="s">
        <v>1105</v>
      </c>
      <c r="F470" s="2">
        <f>B470*D470/100</f>
        <v>220</v>
      </c>
      <c r="G470" s="2">
        <f>F470/2</f>
        <v>110</v>
      </c>
      <c r="I470" s="5" t="s">
        <v>1106</v>
      </c>
      <c r="J470" s="2">
        <f>ROUND(D470*B470^3/12/10000,0)</f>
        <v>887333</v>
      </c>
      <c r="K470" s="2" t="s">
        <v>1107</v>
      </c>
    </row>
    <row r="471" spans="1:10" ht="12">
      <c r="A471" s="2" t="s">
        <v>1426</v>
      </c>
      <c r="B471" s="12">
        <f>B469</f>
        <v>280</v>
      </c>
      <c r="C471" s="5" t="s">
        <v>806</v>
      </c>
      <c r="D471" s="12">
        <f>D469</f>
        <v>36</v>
      </c>
      <c r="E471" s="5" t="s">
        <v>1108</v>
      </c>
      <c r="F471" s="2">
        <f>B471*D471/100</f>
        <v>100.8</v>
      </c>
      <c r="H471" s="12">
        <f>($B$470/2+D471/2)/10</f>
        <v>111.8</v>
      </c>
      <c r="J471" s="2">
        <f>F471*H471^2</f>
        <v>1259923.392</v>
      </c>
    </row>
    <row r="472" spans="1:10" ht="12">
      <c r="A472" s="2" t="s">
        <v>1109</v>
      </c>
      <c r="B472" s="2">
        <f>B469/10</f>
        <v>28</v>
      </c>
      <c r="D472" s="2">
        <f>D469/10</f>
        <v>3.6</v>
      </c>
      <c r="F472" s="2">
        <f>SUM(F469:F471)</f>
        <v>421.6</v>
      </c>
      <c r="H472" s="5" t="s">
        <v>439</v>
      </c>
      <c r="I472" s="5" t="s">
        <v>1110</v>
      </c>
      <c r="J472" s="2">
        <f>SUM(J469:J471)</f>
        <v>3407179.784</v>
      </c>
    </row>
    <row r="473" spans="2:4" ht="12">
      <c r="B473" s="2">
        <f>B470/10</f>
        <v>220</v>
      </c>
      <c r="D473" s="2">
        <f>D470/10</f>
        <v>1</v>
      </c>
    </row>
    <row r="474" spans="2:4" ht="12">
      <c r="B474" s="2">
        <f>B471/10</f>
        <v>28</v>
      </c>
      <c r="D474" s="2">
        <f>D471/10</f>
        <v>3.6</v>
      </c>
    </row>
    <row r="475" ht="12">
      <c r="A475" s="2" t="s">
        <v>440</v>
      </c>
    </row>
    <row r="476" spans="1:3" ht="12">
      <c r="A476" s="2" t="s">
        <v>441</v>
      </c>
      <c r="B476" s="12">
        <f>ROUND((B470/2+D469)/10,3)</f>
        <v>113.6</v>
      </c>
      <c r="C476" s="2" t="s">
        <v>442</v>
      </c>
    </row>
    <row r="477" ht="12">
      <c r="A477" s="2" t="s">
        <v>443</v>
      </c>
    </row>
    <row r="478" spans="2:3" ht="12">
      <c r="B478" s="2">
        <f>ROUND(J472/B476,0)</f>
        <v>29993</v>
      </c>
      <c r="C478" s="2" t="s">
        <v>1528</v>
      </c>
    </row>
    <row r="479" ht="12">
      <c r="A479" s="2" t="s">
        <v>444</v>
      </c>
    </row>
    <row r="480" ht="12">
      <c r="A480" s="2" t="s">
        <v>445</v>
      </c>
    </row>
    <row r="481" spans="2:5" ht="12">
      <c r="B481" s="2">
        <f>ROUND(E458*10^5/B478,0)</f>
        <v>974</v>
      </c>
      <c r="C481" s="5" t="str">
        <f>IF(B481&lt;D481,"&lt;","&gt;")</f>
        <v>&lt;</v>
      </c>
      <c r="D481" s="2">
        <f>E459</f>
        <v>1400</v>
      </c>
      <c r="E481" s="34" t="str">
        <f>IF(B481&lt;D481,"OK","NG")</f>
        <v>OK</v>
      </c>
    </row>
    <row r="483" ht="12">
      <c r="A483" s="2" t="s">
        <v>446</v>
      </c>
    </row>
    <row r="484" spans="1:4" ht="12">
      <c r="A484" s="2" t="s">
        <v>447</v>
      </c>
      <c r="C484" s="2">
        <f>ROUND(E459*B478,0)</f>
        <v>41990200</v>
      </c>
      <c r="D484" s="2" t="s">
        <v>448</v>
      </c>
    </row>
    <row r="485" spans="3:4" ht="12">
      <c r="C485" s="2">
        <f>ROUND(C484/10^5,3)</f>
        <v>419.902</v>
      </c>
      <c r="D485" s="2" t="s">
        <v>449</v>
      </c>
    </row>
    <row r="488" spans="1:2" ht="12">
      <c r="A488" s="2" t="s">
        <v>455</v>
      </c>
      <c r="B488" s="2" t="s">
        <v>328</v>
      </c>
    </row>
    <row r="489" spans="1:6" ht="12">
      <c r="A489" s="2" t="s">
        <v>456</v>
      </c>
      <c r="C489" s="2">
        <f>H304*E305</f>
        <v>220</v>
      </c>
      <c r="D489" s="2" t="s">
        <v>457</v>
      </c>
      <c r="F489" s="2" t="s">
        <v>627</v>
      </c>
    </row>
    <row r="490" spans="1:7" ht="12">
      <c r="A490" s="2" t="s">
        <v>458</v>
      </c>
      <c r="C490" s="8">
        <v>800</v>
      </c>
      <c r="D490" s="2" t="s">
        <v>858</v>
      </c>
      <c r="F490" s="12">
        <f>E303</f>
        <v>1400</v>
      </c>
      <c r="G490" s="2" t="s">
        <v>858</v>
      </c>
    </row>
    <row r="491" ht="12">
      <c r="A491" s="2" t="s">
        <v>459</v>
      </c>
    </row>
    <row r="492" ht="12">
      <c r="A492" s="2" t="s">
        <v>460</v>
      </c>
    </row>
    <row r="493" ht="12">
      <c r="A493" s="2" t="s">
        <v>461</v>
      </c>
    </row>
    <row r="494" spans="1:3" ht="12">
      <c r="A494" s="2" t="s">
        <v>462</v>
      </c>
      <c r="B494" s="2">
        <f>G290*10^3</f>
        <v>64419.5</v>
      </c>
      <c r="C494" s="2" t="s">
        <v>463</v>
      </c>
    </row>
    <row r="495" spans="1:11" ht="12">
      <c r="A495" s="2" t="s">
        <v>464</v>
      </c>
      <c r="B495" s="8">
        <f>ROUND(B494/C489,0)</f>
        <v>293</v>
      </c>
      <c r="C495" s="2" t="s">
        <v>1138</v>
      </c>
      <c r="D495" s="5" t="str">
        <f>IF(B495&lt;E495,"&lt;","&gt;")</f>
        <v>&lt;</v>
      </c>
      <c r="E495" s="8">
        <f>C490*0.45</f>
        <v>360</v>
      </c>
      <c r="F495" s="2" t="s">
        <v>1138</v>
      </c>
      <c r="G495" s="34" t="str">
        <f>IF(B495&lt;E495,"OK","NG")</f>
        <v>OK</v>
      </c>
      <c r="H495" s="2">
        <f>IF(B495&lt;E495,1,2)</f>
        <v>1</v>
      </c>
      <c r="I495" s="2">
        <f>H495+H496</f>
        <v>2</v>
      </c>
      <c r="K495" s="2" t="str">
        <f>G495</f>
        <v>OK</v>
      </c>
    </row>
    <row r="496" spans="2:9" s="10" customFormat="1" ht="12">
      <c r="B496" s="8">
        <v>0</v>
      </c>
      <c r="C496" s="2" t="s">
        <v>1138</v>
      </c>
      <c r="D496" s="5" t="str">
        <f>IF(B496&lt;E496,"&lt;","&gt;")</f>
        <v>&lt;</v>
      </c>
      <c r="E496" s="2">
        <f>0.45*F490</f>
        <v>630</v>
      </c>
      <c r="F496" s="2" t="s">
        <v>1138</v>
      </c>
      <c r="G496" s="34" t="str">
        <f>IF(B496&lt;E496,"OK","NG")</f>
        <v>OK</v>
      </c>
      <c r="H496" s="10">
        <f>IF(B496&lt;E496,1,2)</f>
        <v>1</v>
      </c>
      <c r="I496" s="18" t="str">
        <f>IF(I495&lt;4,"OK","合成応力度の照査へ")</f>
        <v>OK</v>
      </c>
    </row>
    <row r="497" spans="1:5" ht="12">
      <c r="A497" s="2" t="s">
        <v>465</v>
      </c>
      <c r="E497" s="2">
        <v>0.45</v>
      </c>
    </row>
    <row r="498" spans="1:3" ht="12">
      <c r="A498" s="2" t="s">
        <v>462</v>
      </c>
      <c r="B498" s="2">
        <f>G291*10^3</f>
        <v>50464</v>
      </c>
      <c r="C498" s="2" t="s">
        <v>463</v>
      </c>
    </row>
    <row r="499" spans="1:16" ht="12">
      <c r="A499" s="2" t="s">
        <v>464</v>
      </c>
      <c r="B499" s="8">
        <f>ROUND(B498/C489,0)</f>
        <v>229</v>
      </c>
      <c r="C499" s="2" t="s">
        <v>1138</v>
      </c>
      <c r="D499" s="5" t="str">
        <f>IF(B499&lt;E499,"&lt;","&gt;")</f>
        <v>&lt;</v>
      </c>
      <c r="E499" s="2">
        <f>C490*0.45</f>
        <v>360</v>
      </c>
      <c r="F499" s="2" t="s">
        <v>1138</v>
      </c>
      <c r="G499" s="34" t="str">
        <f>IF(B499&lt;E499,"OK","NG")</f>
        <v>OK</v>
      </c>
      <c r="H499" s="2">
        <f>IF(B499&lt;E499,1,2)</f>
        <v>1</v>
      </c>
      <c r="I499" s="2">
        <f>H499+H500</f>
        <v>3</v>
      </c>
      <c r="K499" s="2">
        <f>(B500/$F$490)^2+(B499/$C$490)^2</f>
        <v>0.35906610331632655</v>
      </c>
      <c r="L499" s="5" t="str">
        <f>IF(K499&lt;M499,"&lt;","&gt;")</f>
        <v>&lt;</v>
      </c>
      <c r="M499" s="8">
        <v>1.2</v>
      </c>
      <c r="O499" s="34" t="str">
        <f>IF(K499&lt;M499,"OK","NG")</f>
        <v>OK</v>
      </c>
      <c r="P499" s="2">
        <f>IF(J499&lt;M499,1,2)</f>
        <v>1</v>
      </c>
    </row>
    <row r="500" spans="1:16" ht="12">
      <c r="A500" s="2" t="s">
        <v>466</v>
      </c>
      <c r="B500" s="2">
        <f>B387</f>
        <v>737</v>
      </c>
      <c r="C500" s="2" t="s">
        <v>1138</v>
      </c>
      <c r="D500" s="5" t="str">
        <f>IF(B500&lt;E500,"&lt;","&gt;")</f>
        <v>&gt;</v>
      </c>
      <c r="E500" s="2">
        <f>0.45*F490</f>
        <v>630</v>
      </c>
      <c r="F500" s="2" t="s">
        <v>1138</v>
      </c>
      <c r="G500" s="34" t="str">
        <f>IF(B500&lt;E500,"OK","NG")</f>
        <v>NG</v>
      </c>
      <c r="H500" s="2">
        <f>IF(B500&lt;E500,1,2)</f>
        <v>2</v>
      </c>
      <c r="J500" s="2">
        <f>B500</f>
        <v>737</v>
      </c>
      <c r="L500" s="5" t="str">
        <f>IF(J500&lt;M500,"&lt;","&gt;")</f>
        <v>&lt;</v>
      </c>
      <c r="M500" s="2">
        <f>F490</f>
        <v>1400</v>
      </c>
      <c r="N500" s="2" t="s">
        <v>858</v>
      </c>
      <c r="O500" s="34" t="str">
        <f>IF(J500&lt;M500,"OK","NG")</f>
        <v>OK</v>
      </c>
      <c r="P500" s="2">
        <f>IF(J500&lt;M500,1,2)</f>
        <v>1</v>
      </c>
    </row>
    <row r="501" spans="1:16" ht="12">
      <c r="A501" s="2">
        <v>3</v>
      </c>
      <c r="E501" s="2" t="s">
        <v>467</v>
      </c>
      <c r="G501" s="11"/>
      <c r="I501" s="18" t="str">
        <f>IF(I499&lt;4,"OK","合成応力度の照査へ")</f>
        <v>OK</v>
      </c>
      <c r="J501" s="2">
        <f>B499</f>
        <v>229</v>
      </c>
      <c r="L501" s="5" t="str">
        <f>IF(J501&lt;M501,"&lt;","&gt;")</f>
        <v>&lt;</v>
      </c>
      <c r="M501" s="2">
        <f>C490</f>
        <v>800</v>
      </c>
      <c r="N501" s="2" t="s">
        <v>858</v>
      </c>
      <c r="O501" s="34" t="str">
        <f>IF(J501&lt;M501,"OK","NG")</f>
        <v>OK</v>
      </c>
      <c r="P501" s="2">
        <f>IF(J501&lt;M501,1,2)</f>
        <v>1</v>
      </c>
    </row>
    <row r="502" spans="13:14" ht="12">
      <c r="M502" s="2" t="s">
        <v>628</v>
      </c>
      <c r="N502" s="18" t="str">
        <f>IF((P499+P500+P501)&lt;4,"OK","だめだやりなおせ！")</f>
        <v>OK</v>
      </c>
    </row>
    <row r="503" spans="1:5" ht="12">
      <c r="A503" s="2" t="s">
        <v>468</v>
      </c>
      <c r="E503" s="2">
        <v>0.45</v>
      </c>
    </row>
    <row r="504" spans="1:3" ht="12">
      <c r="A504" s="2" t="s">
        <v>462</v>
      </c>
      <c r="B504" s="2">
        <f>G292*10^3</f>
        <v>36851.00000000001</v>
      </c>
      <c r="C504" s="2" t="s">
        <v>463</v>
      </c>
    </row>
    <row r="505" spans="1:16" ht="12">
      <c r="A505" s="2" t="s">
        <v>464</v>
      </c>
      <c r="B505" s="8">
        <f>ROUND(B504/C489,0)</f>
        <v>168</v>
      </c>
      <c r="C505" s="2" t="s">
        <v>1138</v>
      </c>
      <c r="D505" s="5" t="str">
        <f>IF(B505&lt;E505,"&lt;","&gt;")</f>
        <v>&lt;</v>
      </c>
      <c r="E505" s="2">
        <f>C490*0.45</f>
        <v>360</v>
      </c>
      <c r="F505" s="2" t="s">
        <v>1138</v>
      </c>
      <c r="G505" s="34" t="str">
        <f>IF(B505&lt;E505,"OK","NG")</f>
        <v>OK</v>
      </c>
      <c r="H505" s="2">
        <f>IF(B505&lt;E505,1,2)</f>
        <v>1</v>
      </c>
      <c r="I505" s="2">
        <f>H505+H506</f>
        <v>3</v>
      </c>
      <c r="K505" s="2">
        <f>(B506/$F$490)^2+(B505/$C$490)^2</f>
        <v>0.513325</v>
      </c>
      <c r="L505" s="5" t="str">
        <f>IF(K505&lt;M505,"&lt;","&gt;")</f>
        <v>&lt;</v>
      </c>
      <c r="M505" s="2">
        <f>M499</f>
        <v>1.2</v>
      </c>
      <c r="O505" s="34" t="str">
        <f>IF(K505&lt;M505,"OK","NG")</f>
        <v>OK</v>
      </c>
      <c r="P505" s="2">
        <f>IF(J505&lt;M505,1,2)</f>
        <v>1</v>
      </c>
    </row>
    <row r="506" spans="1:16" ht="12">
      <c r="A506" s="2" t="s">
        <v>466</v>
      </c>
      <c r="B506" s="2">
        <f>B356</f>
        <v>959</v>
      </c>
      <c r="C506" s="2" t="s">
        <v>1138</v>
      </c>
      <c r="D506" s="5" t="str">
        <f>IF(B506&lt;E506,"&lt;","&gt;")</f>
        <v>&gt;</v>
      </c>
      <c r="E506" s="2">
        <f>0.45*F490</f>
        <v>630</v>
      </c>
      <c r="F506" s="2" t="s">
        <v>1138</v>
      </c>
      <c r="G506" s="34" t="str">
        <f>IF(B506&lt;E506,"OK","NG")</f>
        <v>NG</v>
      </c>
      <c r="H506" s="2">
        <f>IF(B506&lt;E506,1,2)</f>
        <v>2</v>
      </c>
      <c r="J506" s="2">
        <f>B506</f>
        <v>959</v>
      </c>
      <c r="K506" s="2" t="s">
        <v>858</v>
      </c>
      <c r="L506" s="5" t="str">
        <f>IF(J506&lt;M506,"&lt;","&gt;")</f>
        <v>&lt;</v>
      </c>
      <c r="M506" s="2">
        <f>F490</f>
        <v>1400</v>
      </c>
      <c r="N506" s="2" t="s">
        <v>858</v>
      </c>
      <c r="O506" s="34" t="str">
        <f>IF(J506&lt;M506,"OK","NG")</f>
        <v>OK</v>
      </c>
      <c r="P506" s="2">
        <f>IF(J506&lt;M506,1,2)</f>
        <v>1</v>
      </c>
    </row>
    <row r="507" spans="1:16" ht="12">
      <c r="A507" s="2">
        <v>2</v>
      </c>
      <c r="G507" s="11"/>
      <c r="I507" s="18" t="str">
        <f>IF(I505&lt;4,"OK","合成応力度の照査へ")</f>
        <v>OK</v>
      </c>
      <c r="J507" s="2">
        <f>B505</f>
        <v>168</v>
      </c>
      <c r="K507" s="2" t="s">
        <v>858</v>
      </c>
      <c r="L507" s="5" t="str">
        <f>IF(J507&lt;M507,"&lt;","&gt;")</f>
        <v>&lt;</v>
      </c>
      <c r="M507" s="2">
        <f>C490</f>
        <v>800</v>
      </c>
      <c r="N507" s="2" t="s">
        <v>858</v>
      </c>
      <c r="O507" s="34" t="str">
        <f>IF(J507&lt;M507,"OK","NG")</f>
        <v>OK</v>
      </c>
      <c r="P507" s="2">
        <f>IF(J507&lt;M507,1,2)</f>
        <v>1</v>
      </c>
    </row>
    <row r="508" spans="13:14" ht="12">
      <c r="M508" s="2" t="s">
        <v>628</v>
      </c>
      <c r="N508" s="18" t="str">
        <f>IF((P505+P506+P507)&lt;4,"OK","だめだやりなおせ！")</f>
        <v>OK</v>
      </c>
    </row>
    <row r="509" spans="1:6" ht="12">
      <c r="A509" s="2" t="s">
        <v>469</v>
      </c>
      <c r="C509" s="2">
        <f>H304*E305</f>
        <v>220</v>
      </c>
      <c r="D509" s="2" t="s">
        <v>457</v>
      </c>
      <c r="F509" s="2" t="s">
        <v>627</v>
      </c>
    </row>
    <row r="510" spans="1:7" ht="12">
      <c r="A510" s="2" t="s">
        <v>458</v>
      </c>
      <c r="C510" s="12">
        <f>C490</f>
        <v>800</v>
      </c>
      <c r="D510" s="2" t="s">
        <v>858</v>
      </c>
      <c r="F510" s="12">
        <f>F490</f>
        <v>1400</v>
      </c>
      <c r="G510" s="2" t="s">
        <v>858</v>
      </c>
    </row>
    <row r="511" ht="12">
      <c r="A511" s="2" t="s">
        <v>470</v>
      </c>
    </row>
    <row r="512" ht="12">
      <c r="A512" s="2" t="s">
        <v>471</v>
      </c>
    </row>
    <row r="513" ht="12">
      <c r="A513" s="2" t="s">
        <v>461</v>
      </c>
    </row>
    <row r="514" spans="1:3" ht="12">
      <c r="A514" s="2" t="s">
        <v>462</v>
      </c>
      <c r="B514" s="2">
        <f>G294*10^3</f>
        <v>85773</v>
      </c>
      <c r="C514" s="2" t="s">
        <v>463</v>
      </c>
    </row>
    <row r="515" spans="1:11" ht="12">
      <c r="A515" s="2" t="s">
        <v>464</v>
      </c>
      <c r="B515" s="8">
        <f>ROUND(B514/C509,0)</f>
        <v>390</v>
      </c>
      <c r="C515" s="2" t="s">
        <v>1138</v>
      </c>
      <c r="D515" s="5" t="str">
        <f>IF(B515&lt;E515,"&lt;","&gt;")</f>
        <v>&gt;</v>
      </c>
      <c r="E515" s="8">
        <f>C510*0.45</f>
        <v>360</v>
      </c>
      <c r="F515" s="2" t="s">
        <v>1138</v>
      </c>
      <c r="G515" s="34" t="str">
        <f>IF(B515&lt;E515,"OK","NG")</f>
        <v>NG</v>
      </c>
      <c r="H515" s="2">
        <f>IF(B515&lt;E515,1,2)</f>
        <v>2</v>
      </c>
      <c r="I515" s="2">
        <f>H515+H516</f>
        <v>3</v>
      </c>
      <c r="K515" s="2" t="str">
        <f>G515</f>
        <v>NG</v>
      </c>
    </row>
    <row r="516" spans="1:9" ht="12">
      <c r="A516" s="10"/>
      <c r="B516" s="8">
        <v>0</v>
      </c>
      <c r="C516" s="2" t="s">
        <v>1138</v>
      </c>
      <c r="D516" s="5" t="str">
        <f>IF(B516&lt;E516,"&lt;","&gt;")</f>
        <v>&lt;</v>
      </c>
      <c r="E516" s="2">
        <f>0.45*F510</f>
        <v>630</v>
      </c>
      <c r="F516" s="2" t="s">
        <v>1138</v>
      </c>
      <c r="G516" s="34" t="str">
        <f>IF(B516&lt;E516,"OK","NG")</f>
        <v>OK</v>
      </c>
      <c r="H516" s="10">
        <f>IF(B516&lt;E516,1,2)</f>
        <v>1</v>
      </c>
      <c r="I516" s="18" t="str">
        <f>IF(I515&lt;4,"OK","合成応力度の照査へ")</f>
        <v>OK</v>
      </c>
    </row>
    <row r="517" spans="1:11" ht="12">
      <c r="A517" s="2" t="s">
        <v>465</v>
      </c>
      <c r="E517" s="2">
        <v>0.45</v>
      </c>
      <c r="I517" s="10"/>
      <c r="K517" s="10"/>
    </row>
    <row r="518" spans="1:3" ht="12">
      <c r="A518" s="2" t="s">
        <v>462</v>
      </c>
      <c r="B518" s="2">
        <f>G295*10^3</f>
        <v>67570.00000000001</v>
      </c>
      <c r="C518" s="2" t="s">
        <v>463</v>
      </c>
    </row>
    <row r="519" spans="1:16" ht="12">
      <c r="A519" s="2" t="s">
        <v>464</v>
      </c>
      <c r="B519" s="8">
        <f>ROUND(B518/C509,0)</f>
        <v>307</v>
      </c>
      <c r="C519" s="2" t="s">
        <v>1138</v>
      </c>
      <c r="D519" s="5" t="str">
        <f>IF(B519&lt;E519,"&lt;","&gt;")</f>
        <v>&lt;</v>
      </c>
      <c r="E519" s="2">
        <f>C510*0.45</f>
        <v>360</v>
      </c>
      <c r="F519" s="2" t="s">
        <v>1138</v>
      </c>
      <c r="G519" s="34" t="str">
        <f>IF(B519&lt;E519,"OK","NG")</f>
        <v>OK</v>
      </c>
      <c r="H519" s="2">
        <f>IF(B519&lt;E519,1,2)</f>
        <v>1</v>
      </c>
      <c r="I519" s="2">
        <f>H519+H520</f>
        <v>3</v>
      </c>
      <c r="K519" s="2">
        <f>(B520/$F$510)^2+(B519/$C$510)^2</f>
        <v>0.6312824298469388</v>
      </c>
      <c r="L519" s="5" t="str">
        <f>IF(K519&lt;M519,"&lt;","&gt;")</f>
        <v>&lt;</v>
      </c>
      <c r="M519" s="8">
        <f>M499</f>
        <v>1.2</v>
      </c>
      <c r="O519" s="34" t="str">
        <f>IF(K519&lt;M519,"OK","NG")</f>
        <v>OK</v>
      </c>
      <c r="P519" s="2">
        <f>IF(J519&lt;M519,1,2)</f>
        <v>1</v>
      </c>
    </row>
    <row r="520" spans="1:16" ht="12">
      <c r="A520" s="2" t="s">
        <v>466</v>
      </c>
      <c r="B520" s="2">
        <f>B481</f>
        <v>974</v>
      </c>
      <c r="C520" s="2" t="s">
        <v>1138</v>
      </c>
      <c r="D520" s="5" t="str">
        <f>IF(B520&lt;E520,"&lt;","&gt;")</f>
        <v>&gt;</v>
      </c>
      <c r="E520" s="2">
        <f>0.45*F510</f>
        <v>630</v>
      </c>
      <c r="F520" s="2" t="s">
        <v>1138</v>
      </c>
      <c r="G520" s="34" t="str">
        <f>IF(B520&lt;E520,"OK","NG")</f>
        <v>NG</v>
      </c>
      <c r="H520" s="2">
        <f>IF(B520&lt;E520,1,2)</f>
        <v>2</v>
      </c>
      <c r="J520" s="2">
        <f>B520</f>
        <v>974</v>
      </c>
      <c r="K520" s="2" t="s">
        <v>858</v>
      </c>
      <c r="L520" s="5" t="str">
        <f>IF(J520&lt;M520,"&lt;","&gt;")</f>
        <v>&lt;</v>
      </c>
      <c r="M520" s="2">
        <f>F510</f>
        <v>1400</v>
      </c>
      <c r="N520" s="2" t="s">
        <v>858</v>
      </c>
      <c r="O520" s="34" t="str">
        <f>IF(J520&lt;M520,"OK","NG")</f>
        <v>OK</v>
      </c>
      <c r="P520" s="2">
        <f>IF(J520&lt;M520,1,2)</f>
        <v>1</v>
      </c>
    </row>
    <row r="521" spans="1:16" ht="12">
      <c r="A521" s="2">
        <v>3</v>
      </c>
      <c r="E521" s="2" t="s">
        <v>467</v>
      </c>
      <c r="G521" s="11"/>
      <c r="I521" s="18" t="str">
        <f>IF(I519&lt;4,"OK","合成応力度の照査へ")</f>
        <v>OK</v>
      </c>
      <c r="J521" s="2">
        <f>B519</f>
        <v>307</v>
      </c>
      <c r="K521" s="2" t="s">
        <v>858</v>
      </c>
      <c r="L521" s="5" t="str">
        <f>IF(J521&lt;M521,"&lt;","&gt;")</f>
        <v>&lt;</v>
      </c>
      <c r="M521" s="2">
        <f>C510</f>
        <v>800</v>
      </c>
      <c r="N521" s="2" t="s">
        <v>858</v>
      </c>
      <c r="O521" s="34" t="str">
        <f>IF(J521&lt;M521,"OK","NG")</f>
        <v>OK</v>
      </c>
      <c r="P521" s="2">
        <f>IF(J521&lt;M521,1,2)</f>
        <v>1</v>
      </c>
    </row>
    <row r="522" spans="1:15" ht="12">
      <c r="A522" s="2" t="s">
        <v>1443</v>
      </c>
      <c r="M522" s="2" t="s">
        <v>628</v>
      </c>
      <c r="N522" s="18" t="str">
        <f>IF((P519+P520+P521)&lt;4,"OK","だめだやりなおせ！")</f>
        <v>OK</v>
      </c>
      <c r="O522" s="5"/>
    </row>
    <row r="523" spans="1:15" ht="12">
      <c r="A523" s="2" t="s">
        <v>468</v>
      </c>
      <c r="E523" s="2">
        <v>0.45</v>
      </c>
      <c r="O523" s="5"/>
    </row>
    <row r="524" spans="1:15" ht="12">
      <c r="A524" s="2" t="s">
        <v>462</v>
      </c>
      <c r="B524" s="2">
        <f>G296*10^3</f>
        <v>49884.00000000001</v>
      </c>
      <c r="C524" s="2" t="s">
        <v>463</v>
      </c>
      <c r="O524" s="5"/>
    </row>
    <row r="525" spans="1:16" ht="12">
      <c r="A525" s="2" t="s">
        <v>464</v>
      </c>
      <c r="B525" s="8">
        <f>ROUND(B524/C509,0)</f>
        <v>227</v>
      </c>
      <c r="C525" s="2" t="s">
        <v>1138</v>
      </c>
      <c r="D525" s="5" t="str">
        <f>IF(B525&lt;E525,"&lt;","&gt;")</f>
        <v>&lt;</v>
      </c>
      <c r="E525" s="2">
        <f>C510*0.45</f>
        <v>360</v>
      </c>
      <c r="F525" s="2" t="s">
        <v>1138</v>
      </c>
      <c r="G525" s="34" t="str">
        <f>IF(B525&lt;E525,"OK","NG")</f>
        <v>OK</v>
      </c>
      <c r="H525" s="2">
        <f>IF(B525&lt;E525,1,2)</f>
        <v>1</v>
      </c>
      <c r="I525" s="2">
        <f>H525+H526</f>
        <v>3</v>
      </c>
      <c r="K525" s="2">
        <f>(B526/$F$510)^2+(B525/$C$510)^2</f>
        <v>0.7576079400510204</v>
      </c>
      <c r="L525" s="5" t="str">
        <f>IF(K525&lt;M525,"&lt;","&gt;")</f>
        <v>&lt;</v>
      </c>
      <c r="M525" s="2">
        <f>M519</f>
        <v>1.2</v>
      </c>
      <c r="O525" s="34" t="str">
        <f>IF(K525&lt;M525,"OK","NG")</f>
        <v>OK</v>
      </c>
      <c r="P525" s="2">
        <f>IF(J525&lt;M525,1,2)</f>
        <v>1</v>
      </c>
    </row>
    <row r="526" spans="1:16" ht="12">
      <c r="A526" s="2" t="s">
        <v>466</v>
      </c>
      <c r="B526" s="2">
        <f>B450</f>
        <v>1152</v>
      </c>
      <c r="C526" s="2" t="s">
        <v>1138</v>
      </c>
      <c r="D526" s="5" t="str">
        <f>IF(B526&lt;E526,"&lt;","&gt;")</f>
        <v>&gt;</v>
      </c>
      <c r="E526" s="2">
        <f>0.45*F510</f>
        <v>630</v>
      </c>
      <c r="F526" s="2" t="s">
        <v>1138</v>
      </c>
      <c r="G526" s="34" t="str">
        <f>IF(B526&lt;E526,"OK","NG")</f>
        <v>NG</v>
      </c>
      <c r="H526" s="2">
        <f>IF(B526&lt;E526,1,2)</f>
        <v>2</v>
      </c>
      <c r="J526" s="2">
        <f>B526</f>
        <v>1152</v>
      </c>
      <c r="K526" s="2" t="s">
        <v>858</v>
      </c>
      <c r="L526" s="5" t="str">
        <f>IF(J526&lt;M526,"&lt;","&gt;")</f>
        <v>&lt;</v>
      </c>
      <c r="M526" s="2">
        <f>F510</f>
        <v>1400</v>
      </c>
      <c r="N526" s="2" t="s">
        <v>858</v>
      </c>
      <c r="O526" s="34" t="str">
        <f>IF(J526&lt;M526,"OK","NG")</f>
        <v>OK</v>
      </c>
      <c r="P526" s="2">
        <f>IF(J526&lt;M526,1,2)</f>
        <v>1</v>
      </c>
    </row>
    <row r="527" spans="1:16" ht="12">
      <c r="A527" s="2">
        <v>2</v>
      </c>
      <c r="G527" s="11"/>
      <c r="I527" s="18" t="str">
        <f>IF(I525&lt;4,"OK","合成応力度の照査へ")</f>
        <v>OK</v>
      </c>
      <c r="J527" s="2">
        <f>B525</f>
        <v>227</v>
      </c>
      <c r="K527" s="2" t="s">
        <v>858</v>
      </c>
      <c r="L527" s="5" t="str">
        <f>IF(J527&lt;M527,"&lt;","&gt;")</f>
        <v>&lt;</v>
      </c>
      <c r="M527" s="2">
        <f>C510</f>
        <v>800</v>
      </c>
      <c r="N527" s="2" t="s">
        <v>858</v>
      </c>
      <c r="O527" s="34" t="str">
        <f>IF(J527&lt;M527,"OK","NG")</f>
        <v>OK</v>
      </c>
      <c r="P527" s="2">
        <f>IF(J527&lt;M527,1,2)</f>
        <v>1</v>
      </c>
    </row>
    <row r="528" spans="1:14" ht="12">
      <c r="A528" s="2" t="s">
        <v>1443</v>
      </c>
      <c r="M528" s="2" t="s">
        <v>628</v>
      </c>
      <c r="N528" s="18" t="str">
        <f>IF((P525+P526+P527)&lt;4,"OK","だめだやりなおせ！")</f>
        <v>OK</v>
      </c>
    </row>
    <row r="530" ht="12">
      <c r="A530" s="3" t="s">
        <v>472</v>
      </c>
    </row>
    <row r="531" spans="1:3" ht="12">
      <c r="A531" s="2" t="s">
        <v>473</v>
      </c>
      <c r="B531" s="2" t="s">
        <v>474</v>
      </c>
      <c r="C531" s="2" t="s">
        <v>475</v>
      </c>
    </row>
    <row r="532" spans="1:8" ht="12">
      <c r="A532" s="2" t="s">
        <v>476</v>
      </c>
      <c r="B532" s="2" t="s">
        <v>477</v>
      </c>
      <c r="H532" s="2">
        <v>64.4195</v>
      </c>
    </row>
    <row r="533" spans="2:8" ht="12">
      <c r="B533" s="2" t="s">
        <v>478</v>
      </c>
      <c r="H533" s="2">
        <v>50.464</v>
      </c>
    </row>
    <row r="534" spans="1:8" ht="12">
      <c r="A534" s="19" t="s">
        <v>479</v>
      </c>
      <c r="B534" s="19" t="s">
        <v>480</v>
      </c>
      <c r="C534" s="19" t="s">
        <v>481</v>
      </c>
      <c r="D534" s="19" t="s">
        <v>482</v>
      </c>
      <c r="E534" s="19" t="s">
        <v>1445</v>
      </c>
      <c r="H534" s="2">
        <v>36.851000000000006</v>
      </c>
    </row>
    <row r="535" spans="1:8" ht="12">
      <c r="A535" s="19" t="s">
        <v>483</v>
      </c>
      <c r="B535" s="24">
        <f>B110</f>
        <v>4.125</v>
      </c>
      <c r="C535" s="24">
        <f>B112</f>
        <v>8.25</v>
      </c>
      <c r="D535" s="24">
        <f>B114</f>
        <v>16.5</v>
      </c>
      <c r="E535" s="24">
        <v>2</v>
      </c>
      <c r="H535" s="2">
        <v>10.652999999999999</v>
      </c>
    </row>
    <row r="536" spans="1:8" ht="12">
      <c r="A536" s="19" t="s">
        <v>484</v>
      </c>
      <c r="B536" s="19">
        <f>B535</f>
        <v>4.125</v>
      </c>
      <c r="C536" s="19">
        <f>C535-B535</f>
        <v>4.125</v>
      </c>
      <c r="D536" s="19">
        <f>D535-C535</f>
        <v>8.25</v>
      </c>
      <c r="E536" s="19"/>
      <c r="H536" s="2">
        <v>85.773</v>
      </c>
    </row>
    <row r="537" spans="1:8" ht="12">
      <c r="A537" s="19" t="s">
        <v>1444</v>
      </c>
      <c r="B537" s="19">
        <f>F378*10^-4</f>
        <v>0.04216</v>
      </c>
      <c r="C537" s="19">
        <f>F347*10^-4</f>
        <v>0.050800000000000005</v>
      </c>
      <c r="D537" s="19">
        <f>F316*10^-4</f>
        <v>0.05872000000000001</v>
      </c>
      <c r="E537" s="19" t="s">
        <v>485</v>
      </c>
      <c r="F537" s="22" t="s">
        <v>486</v>
      </c>
      <c r="H537" s="2">
        <v>67.57</v>
      </c>
    </row>
    <row r="538" spans="1:8" ht="12">
      <c r="A538" s="19" t="s">
        <v>487</v>
      </c>
      <c r="B538" s="19">
        <f>ROUND(B537*B536,3)</f>
        <v>0.174</v>
      </c>
      <c r="C538" s="19">
        <f>ROUND(C537*C536,3)</f>
        <v>0.21</v>
      </c>
      <c r="D538" s="19">
        <f>ROUND(D537*D536,3)</f>
        <v>0.484</v>
      </c>
      <c r="E538" s="32">
        <f>SUM(B538:D538)*2*E535</f>
        <v>3.472</v>
      </c>
      <c r="H538" s="2">
        <v>49.88400000000001</v>
      </c>
    </row>
    <row r="539" spans="1:8" ht="12">
      <c r="A539" s="19" t="s">
        <v>488</v>
      </c>
      <c r="B539" s="19" t="s">
        <v>489</v>
      </c>
      <c r="C539" s="19" t="s">
        <v>490</v>
      </c>
      <c r="D539" s="19" t="s">
        <v>491</v>
      </c>
      <c r="E539" s="19" t="s">
        <v>1445</v>
      </c>
      <c r="H539" s="2">
        <v>16.057</v>
      </c>
    </row>
    <row r="540" spans="1:5" ht="12">
      <c r="A540" s="19" t="s">
        <v>492</v>
      </c>
      <c r="B540" s="8">
        <f>G110</f>
        <v>4.125</v>
      </c>
      <c r="C540" s="24">
        <f>G112</f>
        <v>8.25</v>
      </c>
      <c r="D540" s="24">
        <f>G114</f>
        <v>16.5</v>
      </c>
      <c r="E540" s="29">
        <f>'床版'!C10-E535</f>
        <v>2</v>
      </c>
    </row>
    <row r="541" spans="1:5" ht="12">
      <c r="A541" s="19" t="s">
        <v>484</v>
      </c>
      <c r="B541" s="19">
        <f>B540</f>
        <v>4.125</v>
      </c>
      <c r="C541" s="19">
        <f>C540-B540</f>
        <v>4.125</v>
      </c>
      <c r="D541" s="19">
        <f>D540-C540</f>
        <v>8.25</v>
      </c>
      <c r="E541" s="19"/>
    </row>
    <row r="542" spans="1:6" ht="12">
      <c r="A542" s="19" t="s">
        <v>1444</v>
      </c>
      <c r="B542" s="19">
        <f>F472*10^-4</f>
        <v>0.04216</v>
      </c>
      <c r="C542" s="19">
        <f>F441*10^-4</f>
        <v>0.054400000000000004</v>
      </c>
      <c r="D542" s="19">
        <f>F410*10^-4</f>
        <v>0.05872000000000001</v>
      </c>
      <c r="E542" s="19" t="s">
        <v>493</v>
      </c>
      <c r="F542" s="22" t="s">
        <v>486</v>
      </c>
    </row>
    <row r="543" spans="1:5" ht="12">
      <c r="A543" s="19" t="s">
        <v>487</v>
      </c>
      <c r="B543" s="19">
        <f>ROUND(B542*B541,3)</f>
        <v>0.174</v>
      </c>
      <c r="C543" s="19">
        <f>ROUND(C542*C541,3)</f>
        <v>0.224</v>
      </c>
      <c r="D543" s="19">
        <f>ROUND(D542*D541,3)</f>
        <v>0.484</v>
      </c>
      <c r="E543" s="32">
        <f>SUM(B543:D543)*2*E540</f>
        <v>3.528</v>
      </c>
    </row>
    <row r="544" spans="1:6" ht="12">
      <c r="A544" s="22"/>
      <c r="D544" s="2" t="s">
        <v>494</v>
      </c>
      <c r="E544" s="2">
        <f>ROUND((E538+E543),3)</f>
        <v>7</v>
      </c>
      <c r="F544" s="2" t="s">
        <v>495</v>
      </c>
    </row>
    <row r="545" spans="1:2" ht="12">
      <c r="A545" s="2" t="s">
        <v>496</v>
      </c>
      <c r="B545" s="8">
        <v>1.35</v>
      </c>
    </row>
    <row r="546" spans="2:3" ht="12">
      <c r="B546" s="8">
        <v>7850</v>
      </c>
      <c r="C546" s="2" t="s">
        <v>497</v>
      </c>
    </row>
    <row r="548" spans="1:3" ht="12">
      <c r="A548" s="2" t="s">
        <v>498</v>
      </c>
      <c r="B548" s="2">
        <f>'床版'!C6</f>
        <v>33</v>
      </c>
      <c r="C548" s="2" t="s">
        <v>42</v>
      </c>
    </row>
    <row r="549" spans="1:3" ht="12">
      <c r="A549" s="2" t="s">
        <v>499</v>
      </c>
      <c r="B549" s="2">
        <f>'床版'!C7</f>
        <v>33.5</v>
      </c>
      <c r="C549" s="2" t="s">
        <v>44</v>
      </c>
    </row>
    <row r="550" spans="1:3" ht="12">
      <c r="A550" s="2" t="s">
        <v>500</v>
      </c>
      <c r="B550" s="2">
        <f>'床版'!C8</f>
        <v>7.6</v>
      </c>
      <c r="C550" s="2" t="s">
        <v>46</v>
      </c>
    </row>
    <row r="551" spans="1:3" ht="12">
      <c r="A551" s="2" t="s">
        <v>501</v>
      </c>
      <c r="B551" s="2">
        <f>6.56*B548+34.4</f>
        <v>250.88</v>
      </c>
      <c r="C551" s="2" t="s">
        <v>475</v>
      </c>
    </row>
    <row r="552" spans="1:3" ht="12">
      <c r="A552" s="2" t="s">
        <v>476</v>
      </c>
      <c r="B552" s="2">
        <f>ROUND((B546*B545*E544)/(B549*B550),3)</f>
        <v>291.369</v>
      </c>
      <c r="C552" s="2" t="s">
        <v>502</v>
      </c>
    </row>
    <row r="554" ht="12">
      <c r="A554" s="2" t="s">
        <v>503</v>
      </c>
    </row>
    <row r="555" ht="12">
      <c r="A555" s="2" t="s">
        <v>504</v>
      </c>
    </row>
    <row r="556" spans="1:6" ht="12">
      <c r="A556" s="2">
        <f>ROUND(ABS(B552-B551)/B552*100,3)</f>
        <v>13.896</v>
      </c>
      <c r="B556" s="2" t="s">
        <v>505</v>
      </c>
      <c r="C556" s="5" t="str">
        <f>IF(A556&lt;D556,"&lt;","&gt;")</f>
        <v>&gt;</v>
      </c>
      <c r="D556" s="64">
        <v>5</v>
      </c>
      <c r="E556" s="2" t="s">
        <v>505</v>
      </c>
      <c r="F556" s="9" t="str">
        <f>IF(A556&lt;D556,"OK","NG")</f>
        <v>NG</v>
      </c>
    </row>
    <row r="558" spans="1:3" ht="12">
      <c r="A558" s="3" t="s">
        <v>506</v>
      </c>
      <c r="B558" s="3"/>
      <c r="C558" s="3"/>
    </row>
    <row r="559" ht="12">
      <c r="A559" s="2" t="s">
        <v>507</v>
      </c>
    </row>
    <row r="560" ht="12">
      <c r="A560" s="2" t="s">
        <v>508</v>
      </c>
    </row>
    <row r="561" spans="1:4" ht="12">
      <c r="A561" s="2" t="s">
        <v>509</v>
      </c>
      <c r="C561" s="10"/>
      <c r="D561" s="10"/>
    </row>
    <row r="562" spans="1:4" ht="12">
      <c r="A562" s="2" t="s">
        <v>510</v>
      </c>
      <c r="C562" s="10">
        <f>D408</f>
        <v>10</v>
      </c>
      <c r="D562" s="10" t="s">
        <v>1264</v>
      </c>
    </row>
    <row r="563" spans="1:4" ht="12">
      <c r="A563" s="2" t="s">
        <v>511</v>
      </c>
      <c r="C563" s="10">
        <f>D407</f>
        <v>36</v>
      </c>
      <c r="D563" s="10" t="s">
        <v>939</v>
      </c>
    </row>
    <row r="565" ht="12">
      <c r="A565" s="2" t="s">
        <v>512</v>
      </c>
    </row>
    <row r="566" spans="1:3" ht="12">
      <c r="A566" s="18">
        <f>IF(D407&gt;D313,D407,D313)</f>
        <v>36</v>
      </c>
      <c r="B566" s="2" t="s">
        <v>801</v>
      </c>
      <c r="C566" s="18" t="str">
        <f>IF(D407&gt;D313,"中桁断面Ⅰ","外桁断面Ⅰ")</f>
        <v>外桁断面Ⅰ</v>
      </c>
    </row>
    <row r="567" ht="12">
      <c r="A567" s="2" t="s">
        <v>513</v>
      </c>
    </row>
    <row r="568" ht="12">
      <c r="A568" s="2" t="s">
        <v>514</v>
      </c>
    </row>
    <row r="569" spans="1:7" ht="12">
      <c r="A569" s="2">
        <f>D314</f>
        <v>10</v>
      </c>
      <c r="B569" s="2" t="s">
        <v>12</v>
      </c>
      <c r="C569" s="5" t="str">
        <f>IF(A569&gt;D569,"&gt;","&lt;")</f>
        <v>&gt;</v>
      </c>
      <c r="D569" s="2">
        <f>ROUND(SQRT(2*A566),2)</f>
        <v>8.49</v>
      </c>
      <c r="E569" s="2" t="s">
        <v>12</v>
      </c>
      <c r="F569" s="5" t="str">
        <f>IF(D569&gt;G569,"&gt;","&lt;")</f>
        <v>&gt;</v>
      </c>
      <c r="G569" s="2">
        <v>6</v>
      </c>
    </row>
    <row r="570" ht="12">
      <c r="D570" s="34" t="str">
        <f>IF(D569&gt;G569,"OK","NG")</f>
        <v>OK</v>
      </c>
    </row>
    <row r="571" ht="12">
      <c r="A571" s="2" t="s">
        <v>515</v>
      </c>
    </row>
    <row r="572" spans="1:4" ht="12">
      <c r="A572" s="2" t="s">
        <v>516</v>
      </c>
      <c r="B572" s="64">
        <v>9</v>
      </c>
      <c r="C572" s="2" t="s">
        <v>801</v>
      </c>
      <c r="D572" s="2" t="s">
        <v>807</v>
      </c>
    </row>
    <row r="573" ht="12">
      <c r="A573" s="5" t="str">
        <f>IF(B572&gt;G569,"OK","NG")</f>
        <v>OK</v>
      </c>
    </row>
    <row r="574" ht="12">
      <c r="A574" s="3" t="s">
        <v>523</v>
      </c>
    </row>
    <row r="575" ht="12">
      <c r="A575" s="2" t="s">
        <v>524</v>
      </c>
    </row>
    <row r="576" spans="1:2" ht="12">
      <c r="A576" s="61" t="str">
        <f>IF(G291&lt;G295,"中","外")</f>
        <v>中</v>
      </c>
      <c r="B576" s="2" t="s">
        <v>525</v>
      </c>
    </row>
    <row r="577" spans="1:2" ht="12">
      <c r="A577" s="61" t="s">
        <v>526</v>
      </c>
      <c r="B577" s="2" t="s">
        <v>529</v>
      </c>
    </row>
    <row r="578" spans="1:4" s="10" customFormat="1" ht="12">
      <c r="A578" s="35"/>
      <c r="B578" s="10" t="s">
        <v>893</v>
      </c>
      <c r="D578" s="10" t="s">
        <v>530</v>
      </c>
    </row>
    <row r="579" spans="1:7" ht="12">
      <c r="A579" s="2" t="s">
        <v>531</v>
      </c>
      <c r="B579" s="12">
        <f>ROUND(E581*E583/E582/E585,3)</f>
        <v>250.839</v>
      </c>
      <c r="C579" s="2" t="s">
        <v>894</v>
      </c>
      <c r="D579" s="5" t="str">
        <f>IF(B579&gt;E579,"&gt;","&lt;")</f>
        <v>&lt;</v>
      </c>
      <c r="E579" s="2">
        <v>800</v>
      </c>
      <c r="F579" s="2" t="s">
        <v>894</v>
      </c>
      <c r="G579" s="34" t="str">
        <f>IF(B579&lt;E579,"OK","NG")</f>
        <v>OK</v>
      </c>
    </row>
    <row r="581" spans="1:5" ht="12">
      <c r="A581" s="2" t="s">
        <v>532</v>
      </c>
      <c r="E581" s="8">
        <f>B514</f>
        <v>85773</v>
      </c>
    </row>
    <row r="582" spans="1:5" ht="12">
      <c r="A582" s="2" t="s">
        <v>533</v>
      </c>
      <c r="E582" s="8">
        <f>J472</f>
        <v>3407179.784</v>
      </c>
    </row>
    <row r="583" spans="1:5" ht="12">
      <c r="A583" s="2" t="s">
        <v>534</v>
      </c>
      <c r="E583" s="8">
        <f>ROUND(H469*F469,3)</f>
        <v>11269.44</v>
      </c>
    </row>
    <row r="584" spans="1:5" ht="12">
      <c r="A584" s="2" t="s">
        <v>535</v>
      </c>
      <c r="E584" s="10"/>
    </row>
    <row r="585" spans="1:6" ht="12">
      <c r="A585" s="2" t="s">
        <v>536</v>
      </c>
      <c r="E585" s="8">
        <f>ROUND(B592/10/SQRT(2)*2,3)</f>
        <v>1.131</v>
      </c>
      <c r="F585" s="2" t="s">
        <v>23</v>
      </c>
    </row>
    <row r="586" spans="1:3" ht="12">
      <c r="A586" s="35" t="str">
        <f>A576</f>
        <v>中</v>
      </c>
      <c r="B586" s="2" t="s">
        <v>537</v>
      </c>
      <c r="C586" s="2" t="s">
        <v>1458</v>
      </c>
    </row>
    <row r="587" spans="1:3" ht="12">
      <c r="A587" s="2" t="s">
        <v>538</v>
      </c>
      <c r="B587" s="10">
        <f>D470</f>
        <v>10</v>
      </c>
      <c r="C587" s="2" t="s">
        <v>12</v>
      </c>
    </row>
    <row r="588" spans="1:3" ht="12">
      <c r="A588" s="2" t="s">
        <v>539</v>
      </c>
      <c r="B588" s="2">
        <f>D469</f>
        <v>36</v>
      </c>
      <c r="C588" s="2" t="s">
        <v>797</v>
      </c>
    </row>
    <row r="589" spans="1:7" ht="12">
      <c r="A589" s="2">
        <v>10</v>
      </c>
      <c r="B589" s="2" t="s">
        <v>797</v>
      </c>
      <c r="C589" s="5" t="str">
        <f>IF(A589&gt;D589,"&gt;","&lt;")</f>
        <v>&gt;</v>
      </c>
      <c r="D589" s="2">
        <f>ROUND(SQRT(2*B588),1)</f>
        <v>8.5</v>
      </c>
      <c r="E589" s="2" t="s">
        <v>797</v>
      </c>
      <c r="G589" s="2">
        <v>6</v>
      </c>
    </row>
    <row r="590" ht="12">
      <c r="D590" s="34" t="str">
        <f>IF(D589&gt;G589,"OK","NG")</f>
        <v>OK</v>
      </c>
    </row>
    <row r="591" ht="12">
      <c r="A591" s="2" t="s">
        <v>1451</v>
      </c>
    </row>
    <row r="592" spans="1:4" ht="12">
      <c r="A592" s="2" t="s">
        <v>516</v>
      </c>
      <c r="B592" s="64">
        <v>8</v>
      </c>
      <c r="C592" s="2" t="s">
        <v>801</v>
      </c>
      <c r="D592" s="2" t="s">
        <v>807</v>
      </c>
    </row>
    <row r="593" spans="1:3" ht="12">
      <c r="A593" s="5" t="str">
        <f>IF(B592&gt;G589,"OK","NG")</f>
        <v>OK</v>
      </c>
      <c r="B593" s="2">
        <f>B592/10</f>
        <v>0.8</v>
      </c>
      <c r="C593" s="2" t="s">
        <v>904</v>
      </c>
    </row>
  </sheetData>
  <sheetProtection password="AF41" sheet="1" objects="1" scenarios="1"/>
  <dataValidations count="1">
    <dataValidation errorStyle="warning" type="list" operator="equal" allowBlank="1" showInputMessage="1" showErrorMessage="1" promptTitle="リストから選択できます" prompt="リストから選択されることをお勧めします" errorTitle="リストから選択されませんでした" error="リストからの再入力をお勧めします" imeMode="halfAlpha" sqref="D313 D344 D375 D438 D469 D407">
      <formula1>"9,10,11,12,13,14,15,16,18,19,20,22,25,28,32,36,38,40,45,50"</formula1>
    </dataValidation>
  </dataValidations>
  <printOptions horizontalCentered="1"/>
  <pageMargins left="0.1968503937007874" right="0.2362204724409449" top="0.76" bottom="0.1968503937007874" header="0.5118110236220472" footer="0.1968503937007874"/>
  <pageSetup horizontalDpi="600" verticalDpi="600" orientation="portrait" paperSize="9" scale="59" r:id="rId1"/>
  <rowBreaks count="9" manualBreakCount="9">
    <brk id="50" max="255" man="1"/>
    <brk id="117" max="255" man="1"/>
    <brk id="181" max="255" man="1"/>
    <brk id="258" max="255" man="1"/>
    <brk id="298" max="255" man="1"/>
    <brk id="362" max="255" man="1"/>
    <brk id="393" max="255" man="1"/>
    <brk id="455" max="255" man="1"/>
    <brk id="487" max="10" man="1"/>
  </rowBreaks>
</worksheet>
</file>

<file path=xl/worksheets/sheet3.xml><?xml version="1.0" encoding="utf-8"?>
<worksheet xmlns="http://schemas.openxmlformats.org/spreadsheetml/2006/main" xmlns:r="http://schemas.openxmlformats.org/officeDocument/2006/relationships">
  <sheetPr codeName="Sheet3"/>
  <dimension ref="A1:H193"/>
  <sheetViews>
    <sheetView zoomScale="80" zoomScaleNormal="80" zoomScalePageLayoutView="0" workbookViewId="0" topLeftCell="A154">
      <selection activeCell="H189" sqref="H189"/>
    </sheetView>
  </sheetViews>
  <sheetFormatPr defaultColWidth="9.00390625" defaultRowHeight="13.5"/>
  <cols>
    <col min="1" max="1" width="10.25390625" style="2" customWidth="1"/>
    <col min="2" max="2" width="9.875" style="2" customWidth="1"/>
    <col min="3" max="3" width="9.00390625" style="2" customWidth="1"/>
    <col min="4" max="4" width="10.00390625" style="2" customWidth="1"/>
    <col min="5" max="6" width="9.00390625" style="2" customWidth="1"/>
    <col min="7" max="7" width="9.375" style="2" bestFit="1" customWidth="1"/>
    <col min="8" max="16384" width="9.00390625" style="2" customWidth="1"/>
  </cols>
  <sheetData>
    <row r="1" ht="12">
      <c r="A1" s="2" t="s">
        <v>784</v>
      </c>
    </row>
    <row r="2" ht="12">
      <c r="A2" s="2" t="s">
        <v>785</v>
      </c>
    </row>
    <row r="3" ht="12">
      <c r="A3" s="2" t="s">
        <v>786</v>
      </c>
    </row>
    <row r="5" ht="12">
      <c r="A5" s="3" t="s">
        <v>787</v>
      </c>
    </row>
    <row r="6" ht="12">
      <c r="A6" s="2" t="s">
        <v>789</v>
      </c>
    </row>
    <row r="7" ht="12">
      <c r="A7" s="2" t="s">
        <v>790</v>
      </c>
    </row>
    <row r="8" ht="12">
      <c r="A8" s="2" t="s">
        <v>791</v>
      </c>
    </row>
    <row r="9" spans="1:4" ht="12">
      <c r="A9" s="2" t="s">
        <v>792</v>
      </c>
      <c r="C9" s="2">
        <f>'主桁'!B314</f>
        <v>2200</v>
      </c>
      <c r="D9" s="2" t="s">
        <v>12</v>
      </c>
    </row>
    <row r="10" spans="1:4" ht="12">
      <c r="A10" s="2" t="s">
        <v>793</v>
      </c>
      <c r="C10" s="2">
        <f>ROUND(C9/30+50,0)</f>
        <v>123</v>
      </c>
      <c r="D10" s="2" t="s">
        <v>12</v>
      </c>
    </row>
    <row r="11" ht="12">
      <c r="A11" s="2" t="s">
        <v>794</v>
      </c>
    </row>
    <row r="12" ht="12">
      <c r="A12" s="2" t="s">
        <v>795</v>
      </c>
    </row>
    <row r="13" spans="1:5" ht="12">
      <c r="A13" s="2">
        <f>C10</f>
        <v>123</v>
      </c>
      <c r="B13" s="2" t="s">
        <v>796</v>
      </c>
      <c r="C13" s="64">
        <v>130</v>
      </c>
      <c r="D13" s="2" t="s">
        <v>797</v>
      </c>
      <c r="E13" s="2" t="s">
        <v>798</v>
      </c>
    </row>
    <row r="15" ht="12">
      <c r="A15" s="2" t="s">
        <v>799</v>
      </c>
    </row>
    <row r="16" spans="1:8" ht="12">
      <c r="A16" s="2" t="s">
        <v>800</v>
      </c>
      <c r="C16" s="2">
        <f>ROUND(C13/13,1)</f>
        <v>10</v>
      </c>
      <c r="D16" s="2" t="s">
        <v>801</v>
      </c>
      <c r="E16" s="2" t="s">
        <v>803</v>
      </c>
      <c r="G16" s="64">
        <v>16</v>
      </c>
      <c r="H16" s="2" t="s">
        <v>804</v>
      </c>
    </row>
    <row r="18" spans="1:2" ht="12">
      <c r="A18" s="3" t="s">
        <v>805</v>
      </c>
      <c r="B18" s="3"/>
    </row>
    <row r="19" spans="1:5" ht="12">
      <c r="A19" s="2">
        <f>C13</f>
        <v>130</v>
      </c>
      <c r="B19" s="5" t="s">
        <v>806</v>
      </c>
      <c r="C19" s="2">
        <f>G16</f>
        <v>16</v>
      </c>
      <c r="E19" s="2" t="s">
        <v>807</v>
      </c>
    </row>
    <row r="20" ht="12">
      <c r="A20" s="2" t="s">
        <v>808</v>
      </c>
    </row>
    <row r="21" ht="12">
      <c r="A21" s="2" t="s">
        <v>816</v>
      </c>
    </row>
    <row r="22" spans="1:4" ht="12">
      <c r="A22" s="2" t="s">
        <v>817</v>
      </c>
      <c r="C22" s="12">
        <f>'主桁'!D314</f>
        <v>10</v>
      </c>
      <c r="D22" s="2" t="s">
        <v>12</v>
      </c>
    </row>
    <row r="23" spans="1:4" ht="12">
      <c r="A23" s="2" t="s">
        <v>818</v>
      </c>
      <c r="C23" s="2">
        <f>C22*12</f>
        <v>120</v>
      </c>
      <c r="D23" s="2" t="s">
        <v>12</v>
      </c>
    </row>
    <row r="24" spans="1:5" ht="12">
      <c r="A24" s="2" t="s">
        <v>819</v>
      </c>
      <c r="D24" s="2">
        <f>2*B25*B26+2*B27*B28</f>
        <v>65.6</v>
      </c>
      <c r="E24" s="2" t="s">
        <v>820</v>
      </c>
    </row>
    <row r="25" spans="1:4" ht="12">
      <c r="A25" s="2" t="s">
        <v>821</v>
      </c>
      <c r="B25" s="2">
        <f>G16/10</f>
        <v>1.6</v>
      </c>
      <c r="C25" s="2" t="s">
        <v>822</v>
      </c>
      <c r="D25" s="2" t="s">
        <v>517</v>
      </c>
    </row>
    <row r="26" spans="1:5" ht="12">
      <c r="A26" s="2" t="s">
        <v>823</v>
      </c>
      <c r="B26" s="2">
        <f>C13/10</f>
        <v>13</v>
      </c>
      <c r="C26" s="2" t="s">
        <v>822</v>
      </c>
      <c r="D26" s="2">
        <f>B25*B26</f>
        <v>20.8</v>
      </c>
      <c r="E26" s="2" t="s">
        <v>820</v>
      </c>
    </row>
    <row r="27" spans="1:4" ht="12">
      <c r="A27" s="2" t="s">
        <v>824</v>
      </c>
      <c r="B27" s="2">
        <f>C23/10</f>
        <v>12</v>
      </c>
      <c r="C27" s="2" t="s">
        <v>822</v>
      </c>
      <c r="D27" s="2" t="s">
        <v>518</v>
      </c>
    </row>
    <row r="28" spans="1:5" ht="12">
      <c r="A28" s="2" t="s">
        <v>825</v>
      </c>
      <c r="B28" s="2">
        <f>C22/10</f>
        <v>1</v>
      </c>
      <c r="C28" s="2" t="s">
        <v>822</v>
      </c>
      <c r="D28" s="2">
        <f>B27*B28</f>
        <v>12</v>
      </c>
      <c r="E28" s="2" t="s">
        <v>820</v>
      </c>
    </row>
    <row r="29" ht="12">
      <c r="A29" s="2" t="s">
        <v>826</v>
      </c>
    </row>
    <row r="30" ht="12">
      <c r="A30" s="2" t="s">
        <v>827</v>
      </c>
    </row>
    <row r="31" ht="12">
      <c r="A31" s="2" t="s">
        <v>828</v>
      </c>
    </row>
    <row r="32" spans="1:8" ht="12">
      <c r="A32" s="2" t="s">
        <v>829</v>
      </c>
      <c r="B32" s="2">
        <f>2*B26*B25*1.7</f>
        <v>70.72</v>
      </c>
      <c r="C32" s="2" t="s">
        <v>830</v>
      </c>
      <c r="D32" s="5" t="str">
        <f>IF(B32&gt;F32,"&gt;","&lt;")</f>
        <v>&gt;</v>
      </c>
      <c r="E32" s="2" t="s">
        <v>831</v>
      </c>
      <c r="F32" s="2">
        <f>D24</f>
        <v>65.6</v>
      </c>
      <c r="G32" s="2" t="s">
        <v>830</v>
      </c>
      <c r="H32" s="9" t="str">
        <f>IF(B32&gt;F32,"OK","NG")</f>
        <v>OK</v>
      </c>
    </row>
    <row r="33" ht="12">
      <c r="A33" s="2" t="s">
        <v>834</v>
      </c>
    </row>
    <row r="34" spans="1:5" ht="12">
      <c r="A34" s="2" t="s">
        <v>835</v>
      </c>
      <c r="D34" s="2">
        <f>F32</f>
        <v>65.6</v>
      </c>
      <c r="E34" s="2" t="s">
        <v>836</v>
      </c>
    </row>
    <row r="35" ht="12">
      <c r="A35" s="2" t="s">
        <v>837</v>
      </c>
    </row>
    <row r="36" spans="1:7" ht="13.5" customHeight="1">
      <c r="A36" s="2" t="s">
        <v>838</v>
      </c>
      <c r="E36" s="14" t="s">
        <v>839</v>
      </c>
      <c r="G36" s="2" t="s">
        <v>840</v>
      </c>
    </row>
    <row r="37" spans="1:8" ht="12">
      <c r="A37" s="2">
        <f>A19</f>
        <v>130</v>
      </c>
      <c r="B37" s="5" t="s">
        <v>841</v>
      </c>
      <c r="C37" s="2">
        <f>C19</f>
        <v>16</v>
      </c>
      <c r="E37" s="2">
        <f>A37*C37*2/100</f>
        <v>41.6</v>
      </c>
      <c r="F37" s="2" t="s">
        <v>1530</v>
      </c>
      <c r="G37" s="2">
        <f>A37/2/10+C22/2/10</f>
        <v>7</v>
      </c>
      <c r="H37" s="2" t="s">
        <v>842</v>
      </c>
    </row>
    <row r="38" spans="1:3" ht="12">
      <c r="A38" s="2" t="s">
        <v>843</v>
      </c>
      <c r="C38" s="2" t="s">
        <v>844</v>
      </c>
    </row>
    <row r="39" spans="1:3" ht="12">
      <c r="A39" s="2">
        <f>ROUND(E37*G37^2,0)</f>
        <v>2038</v>
      </c>
      <c r="C39" s="2">
        <f>C37/10*(A37/10)^3*2/12</f>
        <v>585.8666666666667</v>
      </c>
    </row>
    <row r="40" spans="1:4" ht="12">
      <c r="A40" s="2" t="s">
        <v>845</v>
      </c>
      <c r="C40" s="2">
        <f>C39+A39</f>
        <v>2623.866666666667</v>
      </c>
      <c r="D40" s="2" t="s">
        <v>846</v>
      </c>
    </row>
    <row r="41" ht="12">
      <c r="A41" s="2" t="s">
        <v>847</v>
      </c>
    </row>
    <row r="43" spans="1:5" ht="12">
      <c r="A43" s="2" t="s">
        <v>848</v>
      </c>
      <c r="E43" s="2">
        <f>C9/10</f>
        <v>220</v>
      </c>
    </row>
    <row r="44" spans="1:3" ht="12">
      <c r="A44" s="2" t="s">
        <v>849</v>
      </c>
      <c r="B44" s="2">
        <f>C9/2/10</f>
        <v>110</v>
      </c>
      <c r="C44" s="2" t="s">
        <v>850</v>
      </c>
    </row>
    <row r="45" ht="12">
      <c r="A45" s="2" t="s">
        <v>851</v>
      </c>
    </row>
    <row r="46" spans="1:3" ht="12">
      <c r="A46" s="2" t="s">
        <v>852</v>
      </c>
      <c r="B46" s="2">
        <f>ROUND(SQRT(C40/D24),1)</f>
        <v>6.3</v>
      </c>
      <c r="C46" s="2" t="s">
        <v>853</v>
      </c>
    </row>
    <row r="47" ht="12">
      <c r="A47" s="2" t="s">
        <v>854</v>
      </c>
    </row>
    <row r="48" spans="1:2" ht="12">
      <c r="A48" s="2" t="s">
        <v>855</v>
      </c>
      <c r="B48" s="2">
        <f>ROUND(B44/B46,1)</f>
        <v>17.5</v>
      </c>
    </row>
    <row r="50" ht="12">
      <c r="A50" s="2" t="s">
        <v>856</v>
      </c>
    </row>
    <row r="51" spans="1:3" ht="12">
      <c r="A51" s="2" t="s">
        <v>857</v>
      </c>
      <c r="B51" s="12">
        <f>'主桁'!E303</f>
        <v>1400</v>
      </c>
      <c r="C51" s="2" t="s">
        <v>858</v>
      </c>
    </row>
    <row r="52" ht="12">
      <c r="A52" s="2" t="s">
        <v>860</v>
      </c>
    </row>
    <row r="53" spans="1:2" ht="12">
      <c r="A53" s="2" t="s">
        <v>861</v>
      </c>
      <c r="B53" s="2">
        <f>'主桁'!G294</f>
        <v>85.773</v>
      </c>
    </row>
    <row r="54" spans="1:7" ht="12">
      <c r="A54" s="2" t="s">
        <v>862</v>
      </c>
      <c r="B54" s="2">
        <f>ROUND(B53*10^3/D24,0)</f>
        <v>1308</v>
      </c>
      <c r="C54" s="2" t="s">
        <v>863</v>
      </c>
      <c r="D54" s="5" t="str">
        <f>IF(B54&gt;E54,"&gt;","&lt;")</f>
        <v>&lt;</v>
      </c>
      <c r="E54" s="10">
        <f>B51</f>
        <v>1400</v>
      </c>
      <c r="F54" s="2" t="s">
        <v>863</v>
      </c>
      <c r="G54" s="9" t="str">
        <f>IF(B54&lt;E54,"OK","NG")</f>
        <v>OK</v>
      </c>
    </row>
    <row r="57" ht="12">
      <c r="A57" s="3" t="s">
        <v>864</v>
      </c>
    </row>
    <row r="58" ht="12">
      <c r="A58" s="2" t="s">
        <v>865</v>
      </c>
    </row>
    <row r="59" spans="1:5" ht="12">
      <c r="A59" s="2" t="s">
        <v>866</v>
      </c>
      <c r="E59" s="2" t="s">
        <v>521</v>
      </c>
    </row>
    <row r="60" spans="1:8" ht="12">
      <c r="A60" s="64">
        <v>3</v>
      </c>
      <c r="B60" s="2" t="s">
        <v>519</v>
      </c>
      <c r="E60" s="12">
        <f>'床版'!I9</f>
        <v>550</v>
      </c>
      <c r="H60" s="2" t="s">
        <v>85</v>
      </c>
    </row>
    <row r="61" spans="1:8" ht="12">
      <c r="A61" s="10" t="s">
        <v>520</v>
      </c>
      <c r="C61" s="15">
        <f>ROUND('床版'!I7*100/A60,1)</f>
        <v>183.3</v>
      </c>
      <c r="D61" s="2" t="s">
        <v>571</v>
      </c>
      <c r="E61" s="2" t="s">
        <v>867</v>
      </c>
      <c r="G61" s="2">
        <f>ROUND(C61*2,0)</f>
        <v>367</v>
      </c>
      <c r="H61" s="33">
        <f>ROUND(C61*2,0)</f>
        <v>367</v>
      </c>
    </row>
    <row r="62" spans="1:8" ht="12">
      <c r="A62" s="2" t="s">
        <v>868</v>
      </c>
      <c r="G62" s="2">
        <f>ROUND(C61*3,0)</f>
        <v>550</v>
      </c>
      <c r="H62" s="33">
        <f>ROUND(C61*3,0)</f>
        <v>550</v>
      </c>
    </row>
    <row r="63" spans="1:8" ht="12">
      <c r="A63" s="2" t="s">
        <v>869</v>
      </c>
      <c r="H63" s="33">
        <f>ROUND(C61*4,0)</f>
        <v>733</v>
      </c>
    </row>
    <row r="64" spans="1:4" ht="12">
      <c r="A64" s="2" t="s">
        <v>792</v>
      </c>
      <c r="C64" s="2">
        <f>C9</f>
        <v>2200</v>
      </c>
      <c r="D64" s="2" t="s">
        <v>12</v>
      </c>
    </row>
    <row r="65" spans="1:4" ht="12">
      <c r="A65" s="2" t="s">
        <v>793</v>
      </c>
      <c r="C65" s="2">
        <f>ROUND(C64/30+50,0)</f>
        <v>123</v>
      </c>
      <c r="D65" s="2" t="s">
        <v>12</v>
      </c>
    </row>
    <row r="66" ht="12">
      <c r="A66" s="2" t="s">
        <v>870</v>
      </c>
    </row>
    <row r="67" ht="12">
      <c r="A67" s="2" t="s">
        <v>795</v>
      </c>
    </row>
    <row r="68" spans="1:5" ht="12">
      <c r="A68" s="2">
        <f>C65</f>
        <v>123</v>
      </c>
      <c r="B68" s="2" t="s">
        <v>796</v>
      </c>
      <c r="C68" s="64">
        <v>130</v>
      </c>
      <c r="D68" s="2" t="s">
        <v>797</v>
      </c>
      <c r="E68" s="2" t="s">
        <v>798</v>
      </c>
    </row>
    <row r="70" ht="12">
      <c r="A70" s="2" t="s">
        <v>871</v>
      </c>
    </row>
    <row r="71" spans="1:8" ht="12">
      <c r="A71" s="2">
        <f>C68</f>
        <v>130</v>
      </c>
      <c r="B71" s="5" t="s">
        <v>806</v>
      </c>
      <c r="C71" s="64">
        <v>12</v>
      </c>
      <c r="E71" s="2" t="s">
        <v>807</v>
      </c>
      <c r="F71" s="2" t="s">
        <v>1043</v>
      </c>
      <c r="G71" s="2" t="s">
        <v>800</v>
      </c>
      <c r="H71" s="2">
        <f>C68/13</f>
        <v>10</v>
      </c>
    </row>
    <row r="73" ht="12">
      <c r="A73" s="2" t="s">
        <v>872</v>
      </c>
    </row>
    <row r="74" spans="1:5" ht="12">
      <c r="A74" s="2" t="s">
        <v>873</v>
      </c>
      <c r="D74" s="2">
        <f>ROUND(D76*D75^3/11*8*(D76/D77)^2,3)</f>
        <v>230.484</v>
      </c>
      <c r="E74" s="2" t="s">
        <v>874</v>
      </c>
    </row>
    <row r="75" spans="1:8" ht="12">
      <c r="A75" s="2" t="s">
        <v>875</v>
      </c>
      <c r="D75" s="12">
        <f>'主桁'!E305</f>
        <v>1</v>
      </c>
      <c r="E75" s="2" t="s">
        <v>11</v>
      </c>
      <c r="G75" s="2">
        <f>D75*10</f>
        <v>10</v>
      </c>
      <c r="H75" s="2" t="s">
        <v>1264</v>
      </c>
    </row>
    <row r="76" spans="1:5" ht="12">
      <c r="A76" s="2" t="s">
        <v>876</v>
      </c>
      <c r="D76" s="2">
        <f>C9/10</f>
        <v>220</v>
      </c>
      <c r="E76" s="2" t="s">
        <v>11</v>
      </c>
    </row>
    <row r="77" spans="1:5" ht="12">
      <c r="A77" s="2" t="s">
        <v>877</v>
      </c>
      <c r="D77" s="2">
        <f>C61</f>
        <v>183.3</v>
      </c>
      <c r="E77" s="2" t="s">
        <v>878</v>
      </c>
    </row>
    <row r="78" ht="12">
      <c r="A78" s="2" t="s">
        <v>879</v>
      </c>
    </row>
    <row r="79" spans="1:6" ht="12">
      <c r="A79" s="2" t="s">
        <v>880</v>
      </c>
      <c r="E79" s="2" t="s">
        <v>839</v>
      </c>
      <c r="F79" s="2" t="s">
        <v>840</v>
      </c>
    </row>
    <row r="80" spans="1:6" ht="12">
      <c r="A80" s="2">
        <f>A71</f>
        <v>130</v>
      </c>
      <c r="B80" s="5" t="s">
        <v>841</v>
      </c>
      <c r="C80" s="10">
        <f>C71</f>
        <v>12</v>
      </c>
      <c r="E80" s="2">
        <f>A80*C80/100</f>
        <v>15.6</v>
      </c>
      <c r="F80" s="2">
        <f>A80/2/10+D75/2</f>
        <v>7</v>
      </c>
    </row>
    <row r="81" spans="1:4" ht="12">
      <c r="A81" s="2" t="s">
        <v>843</v>
      </c>
      <c r="D81" s="2" t="s">
        <v>881</v>
      </c>
    </row>
    <row r="82" spans="1:5" ht="12">
      <c r="A82" s="2">
        <f>E80*F80^2</f>
        <v>764.4</v>
      </c>
      <c r="B82" s="2" t="s">
        <v>846</v>
      </c>
      <c r="D82" s="2">
        <f>C80/10*(A80/10)^3/12</f>
        <v>219.70000000000002</v>
      </c>
      <c r="E82" s="2" t="s">
        <v>846</v>
      </c>
    </row>
    <row r="83" spans="1:8" ht="12">
      <c r="A83" s="2" t="s">
        <v>882</v>
      </c>
      <c r="B83" s="2">
        <f>ROUND(A82+D82,3)</f>
        <v>984.1</v>
      </c>
      <c r="C83" s="2" t="s">
        <v>846</v>
      </c>
      <c r="D83" s="5" t="str">
        <f>IF(B83&gt;F83,"&gt;","&lt;")</f>
        <v>&gt;</v>
      </c>
      <c r="E83" s="2" t="s">
        <v>883</v>
      </c>
      <c r="F83" s="2">
        <f>D74</f>
        <v>230.484</v>
      </c>
      <c r="G83" s="2" t="s">
        <v>846</v>
      </c>
      <c r="H83" s="9" t="str">
        <f>IF(B83&gt;F83,"OK","NG")</f>
        <v>OK</v>
      </c>
    </row>
    <row r="85" ht="12">
      <c r="A85" s="2" t="s">
        <v>884</v>
      </c>
    </row>
    <row r="86" spans="1:4" ht="12">
      <c r="A86" s="2" t="s">
        <v>885</v>
      </c>
      <c r="C86" s="2">
        <f>C61</f>
        <v>183.3</v>
      </c>
      <c r="D86" s="2" t="s">
        <v>886</v>
      </c>
    </row>
    <row r="87" spans="1:2" ht="12">
      <c r="A87" s="2" t="s">
        <v>887</v>
      </c>
      <c r="B87" s="2">
        <f>ROUND(C86/D76,3)</f>
        <v>0.833</v>
      </c>
    </row>
    <row r="88" ht="12">
      <c r="A88" s="2" t="s">
        <v>888</v>
      </c>
    </row>
    <row r="89" ht="12">
      <c r="A89" s="2" t="s">
        <v>522</v>
      </c>
    </row>
    <row r="90" ht="12">
      <c r="A90" s="2" t="s">
        <v>889</v>
      </c>
    </row>
    <row r="91" spans="1:3" ht="12">
      <c r="A91" s="2" t="s">
        <v>890</v>
      </c>
      <c r="B91" s="2">
        <f>'主桁'!G294*10^3</f>
        <v>85773</v>
      </c>
      <c r="C91" s="2" t="s">
        <v>891</v>
      </c>
    </row>
    <row r="92" spans="1:3" ht="12">
      <c r="A92" s="2" t="s">
        <v>892</v>
      </c>
      <c r="B92" s="2">
        <f>D76*D75</f>
        <v>220</v>
      </c>
      <c r="C92" s="2" t="s">
        <v>1530</v>
      </c>
    </row>
    <row r="93" spans="1:3" ht="12">
      <c r="A93" s="2" t="s">
        <v>893</v>
      </c>
      <c r="B93" s="2">
        <f>ROUND(B91/B92,0)</f>
        <v>390</v>
      </c>
      <c r="C93" s="2" t="s">
        <v>894</v>
      </c>
    </row>
    <row r="95" ht="12">
      <c r="A95" s="2" t="s">
        <v>895</v>
      </c>
    </row>
    <row r="96" ht="12">
      <c r="A96" s="2" t="s">
        <v>896</v>
      </c>
    </row>
    <row r="97" spans="1:5" ht="12">
      <c r="A97" s="2" t="s">
        <v>897</v>
      </c>
      <c r="B97" s="2">
        <f>B87</f>
        <v>0.833</v>
      </c>
      <c r="C97" s="5" t="str">
        <f>IF(B97&lt;D97,"&lt;","&gt;")</f>
        <v>&gt;</v>
      </c>
      <c r="D97" s="8">
        <v>0.8</v>
      </c>
      <c r="E97" s="2" t="s">
        <v>898</v>
      </c>
    </row>
    <row r="99" spans="1:5" ht="12">
      <c r="A99" s="62" t="s">
        <v>1044</v>
      </c>
      <c r="B99" s="62"/>
      <c r="C99" s="62"/>
      <c r="D99" s="62"/>
      <c r="E99" s="62"/>
    </row>
    <row r="100" spans="1:4" ht="12">
      <c r="A100" s="2" t="s">
        <v>899</v>
      </c>
      <c r="D100" s="2">
        <f>C64/10</f>
        <v>220</v>
      </c>
    </row>
    <row r="101" spans="1:4" ht="12">
      <c r="A101" s="2" t="s">
        <v>927</v>
      </c>
      <c r="D101" s="2">
        <f>D75</f>
        <v>1</v>
      </c>
    </row>
    <row r="102" spans="1:4" ht="12">
      <c r="A102" s="2" t="s">
        <v>928</v>
      </c>
      <c r="D102" s="2">
        <f>D77</f>
        <v>183.3</v>
      </c>
    </row>
    <row r="103" spans="1:4" ht="12">
      <c r="A103" s="2" t="s">
        <v>929</v>
      </c>
      <c r="D103" s="8">
        <v>0</v>
      </c>
    </row>
    <row r="104" spans="1:4" ht="12">
      <c r="A104" s="2" t="s">
        <v>1111</v>
      </c>
      <c r="D104" s="2">
        <f>B93</f>
        <v>390</v>
      </c>
    </row>
    <row r="105" ht="12">
      <c r="A105" s="2" t="s">
        <v>1112</v>
      </c>
    </row>
    <row r="106" spans="4:7" ht="12">
      <c r="D106" s="2">
        <f>IF(B97&lt;D97,ROUND((D100/(100*D101))^4*((D103/9500)^2+(D104/(950+810*(D100/D102)^2))^2),2),ROUND((D100/(100*D101))^4*((D103/9500)^2+(D104/(1270+610*(D100/D102)^2))^2),2))</f>
        <v>0.77</v>
      </c>
      <c r="E106" s="5" t="str">
        <f>IF(D106&lt;=F106,"&lt;=","&gt;=")</f>
        <v>&lt;=</v>
      </c>
      <c r="F106" s="8">
        <v>1</v>
      </c>
      <c r="G106" s="9" t="str">
        <f>IF(D106&lt;=F106,"OK","NG")</f>
        <v>OK</v>
      </c>
    </row>
    <row r="107" s="10" customFormat="1" ht="12">
      <c r="E107" s="11"/>
    </row>
    <row r="108" ht="12">
      <c r="A108" s="2" t="s">
        <v>1113</v>
      </c>
    </row>
    <row r="109" spans="1:5" ht="12">
      <c r="A109" s="64">
        <v>3</v>
      </c>
      <c r="B109" s="2" t="s">
        <v>519</v>
      </c>
      <c r="E109" s="2" t="s">
        <v>521</v>
      </c>
    </row>
    <row r="110" spans="1:8" ht="12">
      <c r="A110" s="10" t="s">
        <v>1114</v>
      </c>
      <c r="E110" s="12">
        <f>E60</f>
        <v>550</v>
      </c>
      <c r="H110" s="2" t="s">
        <v>85</v>
      </c>
    </row>
    <row r="111" spans="1:8" ht="12">
      <c r="A111" s="9">
        <f>ROUND('床版'!I7*100/A109,1)</f>
        <v>183.3</v>
      </c>
      <c r="B111" s="2" t="s">
        <v>1115</v>
      </c>
      <c r="G111" s="2">
        <f>ROUND(G62+A111*1,0)</f>
        <v>733</v>
      </c>
      <c r="H111" s="33">
        <f>ROUND(A111*5,0)</f>
        <v>917</v>
      </c>
    </row>
    <row r="112" spans="1:8" ht="12">
      <c r="A112" s="2" t="s">
        <v>1116</v>
      </c>
      <c r="G112" s="2">
        <f>ROUND(G62+A111*2,0)</f>
        <v>917</v>
      </c>
      <c r="H112" s="33">
        <f>ROUND(A111*6,0)</f>
        <v>1100</v>
      </c>
    </row>
    <row r="113" spans="1:8" ht="12">
      <c r="A113" s="2" t="s">
        <v>1117</v>
      </c>
      <c r="B113" s="2">
        <f>A71</f>
        <v>130</v>
      </c>
      <c r="C113" s="5" t="s">
        <v>806</v>
      </c>
      <c r="D113" s="2">
        <f>C71</f>
        <v>12</v>
      </c>
      <c r="E113" s="2" t="s">
        <v>807</v>
      </c>
      <c r="G113" s="2">
        <f>ROUND(G62+A111*3,0)</f>
        <v>1100</v>
      </c>
      <c r="H113" s="33">
        <f>ROUND(A111*7,0)</f>
        <v>1283</v>
      </c>
    </row>
    <row r="114" spans="1:8" ht="12">
      <c r="A114" s="2" t="s">
        <v>1118</v>
      </c>
      <c r="H114" s="33">
        <f>ROUND(A111*8,0)</f>
        <v>1466</v>
      </c>
    </row>
    <row r="115" ht="12">
      <c r="A115" s="2" t="s">
        <v>1119</v>
      </c>
    </row>
    <row r="116" spans="1:7" ht="12">
      <c r="A116" s="2">
        <f>ROUND(D100*D101^3/11*8*(D100/D102)^2,3)</f>
        <v>230.484</v>
      </c>
      <c r="B116" s="2" t="s">
        <v>874</v>
      </c>
      <c r="C116" s="5" t="str">
        <f>IF(A116&lt;E116,"&lt;","&gt;")</f>
        <v>&lt;</v>
      </c>
      <c r="D116" s="2" t="s">
        <v>1120</v>
      </c>
      <c r="E116" s="2">
        <f>B83</f>
        <v>984.1</v>
      </c>
      <c r="F116" s="2" t="s">
        <v>874</v>
      </c>
      <c r="G116" s="12" t="str">
        <f>IF(A116&lt;E116,"OK","NG")</f>
        <v>OK</v>
      </c>
    </row>
    <row r="118" ht="12">
      <c r="A118" s="2" t="s">
        <v>1121</v>
      </c>
    </row>
    <row r="119" spans="1:5" ht="12">
      <c r="A119" s="2" t="s">
        <v>1122</v>
      </c>
      <c r="C119" s="2" t="s">
        <v>1123</v>
      </c>
      <c r="D119" s="2">
        <f>A111</f>
        <v>183.3</v>
      </c>
      <c r="E119" s="2" t="s">
        <v>1124</v>
      </c>
    </row>
    <row r="120" spans="1:6" ht="12">
      <c r="A120" s="2" t="s">
        <v>1125</v>
      </c>
      <c r="C120" s="2">
        <f>ROUND(D119/D100,3)</f>
        <v>0.833</v>
      </c>
      <c r="D120" s="5" t="str">
        <f>IF(C120&gt;E120,"&gt;","&lt;")</f>
        <v>&lt;</v>
      </c>
      <c r="E120" s="8">
        <v>1.5</v>
      </c>
      <c r="F120" s="9" t="str">
        <f>IF(C120&lt;E120,"OK","NG")</f>
        <v>OK</v>
      </c>
    </row>
    <row r="121" ht="12">
      <c r="A121" s="2" t="s">
        <v>1126</v>
      </c>
    </row>
    <row r="122" spans="1:8" ht="12">
      <c r="A122" s="2" t="s">
        <v>1127</v>
      </c>
      <c r="B122" s="16">
        <f>'ms date'!B130</f>
        <v>5.5</v>
      </c>
      <c r="C122" s="2" t="s">
        <v>1128</v>
      </c>
      <c r="G122" s="8">
        <f>'ms date'!I130</f>
        <v>371.21299999999997</v>
      </c>
      <c r="H122" s="2" t="s">
        <v>1129</v>
      </c>
    </row>
    <row r="123" spans="1:7" ht="12">
      <c r="A123" s="2" t="s">
        <v>1130</v>
      </c>
      <c r="D123" s="2">
        <f>ROUND(G122*10^5/D124,0)</f>
        <v>854</v>
      </c>
      <c r="E123" s="2" t="s">
        <v>1131</v>
      </c>
      <c r="G123" s="2">
        <f>G122*10^5</f>
        <v>37121300</v>
      </c>
    </row>
    <row r="124" spans="1:5" ht="12">
      <c r="A124" s="2" t="s">
        <v>1132</v>
      </c>
      <c r="B124" s="2" t="s">
        <v>1133</v>
      </c>
      <c r="D124" s="2">
        <f>'主桁'!B447</f>
        <v>43460</v>
      </c>
      <c r="E124" s="2" t="s">
        <v>1528</v>
      </c>
    </row>
    <row r="125" spans="1:8" ht="12">
      <c r="A125" s="2" t="s">
        <v>1134</v>
      </c>
      <c r="B125" s="16">
        <f>'ms date'!B293</f>
        <v>5.5</v>
      </c>
      <c r="C125" s="2" t="s">
        <v>1135</v>
      </c>
      <c r="G125" s="8">
        <f>'ms date'!G293</f>
        <v>61.674</v>
      </c>
      <c r="H125" s="2" t="s">
        <v>1136</v>
      </c>
    </row>
    <row r="126" spans="1:7" ht="12">
      <c r="A126" s="2" t="s">
        <v>1137</v>
      </c>
      <c r="D126" s="2">
        <f>ROUND(G125*10^3/D127,0)</f>
        <v>280</v>
      </c>
      <c r="E126" s="2" t="s">
        <v>1138</v>
      </c>
      <c r="G126" s="2">
        <f>G125*10^3</f>
        <v>61674</v>
      </c>
    </row>
    <row r="127" spans="1:5" ht="12">
      <c r="A127" s="2" t="s">
        <v>1139</v>
      </c>
      <c r="D127" s="2">
        <f>D100*D101</f>
        <v>220</v>
      </c>
      <c r="E127" s="2" t="s">
        <v>1140</v>
      </c>
    </row>
    <row r="128" ht="12">
      <c r="A128" s="2" t="s">
        <v>1141</v>
      </c>
    </row>
    <row r="129" ht="12">
      <c r="A129" s="2" t="s">
        <v>1142</v>
      </c>
    </row>
    <row r="130" spans="1:5" ht="12">
      <c r="A130" s="2" t="s">
        <v>897</v>
      </c>
      <c r="B130" s="2">
        <f>C120</f>
        <v>0.833</v>
      </c>
      <c r="C130" s="5" t="str">
        <f>IF(B130&gt;D130,"&gt;","&lt;")</f>
        <v>&gt;</v>
      </c>
      <c r="D130" s="8">
        <v>0.8</v>
      </c>
      <c r="E130" s="2" t="s">
        <v>1143</v>
      </c>
    </row>
    <row r="131" ht="12">
      <c r="A131" s="2" t="str">
        <f>IF(B130&gt;D130,"(hw/(100*tw))^4*((σ/9500)^2+(τ/(1270+610(hw/a)^2)^2))","(hw/(100*tw))^4*((σ/9500)^2+(τ/(950+810(hw/a)^2)^2))")</f>
        <v>(hw/(100*tw))^4*((σ/9500)^2+(τ/(1270+610(hw/a)^2)^2))</v>
      </c>
    </row>
    <row r="132" spans="2:5" ht="12">
      <c r="B132" s="2">
        <f>IF(B130&gt;D130,ROUND((D100/(100*D101))^4*((D123/9500)^2+(D126/(1270+610*(D100/D119)^2))^2),2),ROUND((D100/(100*D101))^4*((D123/9500)^2+(D126/(950+810*(D100/D119)^2))^2),2))</f>
        <v>0.59</v>
      </c>
      <c r="C132" s="5" t="str">
        <f>IF(B132&gt;=D132,"&gt;=","&lt;=")</f>
        <v>&lt;=</v>
      </c>
      <c r="D132" s="8">
        <v>1</v>
      </c>
      <c r="E132" s="9" t="str">
        <f>IF(B132&lt;D132,"OK","NG")</f>
        <v>OK</v>
      </c>
    </row>
    <row r="133" spans="3:5" ht="12">
      <c r="C133" s="5"/>
      <c r="D133" s="10"/>
      <c r="E133" s="10"/>
    </row>
    <row r="134" ht="12">
      <c r="A134" s="2" t="s">
        <v>1144</v>
      </c>
    </row>
    <row r="135" spans="1:5" ht="12">
      <c r="A135" s="64">
        <v>3</v>
      </c>
      <c r="B135" s="2" t="s">
        <v>519</v>
      </c>
      <c r="E135" s="2" t="s">
        <v>521</v>
      </c>
    </row>
    <row r="136" spans="1:8" ht="12">
      <c r="A136" s="10" t="s">
        <v>1114</v>
      </c>
      <c r="E136" s="12">
        <f>E110</f>
        <v>550</v>
      </c>
      <c r="H136" s="2" t="s">
        <v>85</v>
      </c>
    </row>
    <row r="137" spans="1:8" ht="12">
      <c r="A137" s="9">
        <f>ROUND('床版'!I7*100/A135,1)</f>
        <v>183.3</v>
      </c>
      <c r="B137" s="2" t="s">
        <v>1115</v>
      </c>
      <c r="G137" s="2">
        <f>ROUND(G113+A137*1,0)</f>
        <v>1283</v>
      </c>
      <c r="H137" s="33">
        <f>ROUND(A137*9,0)</f>
        <v>1650</v>
      </c>
    </row>
    <row r="138" spans="1:8" ht="12">
      <c r="A138" s="2" t="s">
        <v>1116</v>
      </c>
      <c r="G138" s="2">
        <f>ROUND(G113+A137*2,0)</f>
        <v>1467</v>
      </c>
      <c r="H138" s="33">
        <f>ROUND(A137*10,0)</f>
        <v>1833</v>
      </c>
    </row>
    <row r="139" spans="1:8" ht="12">
      <c r="A139" s="2" t="s">
        <v>1117</v>
      </c>
      <c r="B139" s="2">
        <f>A71</f>
        <v>130</v>
      </c>
      <c r="C139" s="5" t="s">
        <v>806</v>
      </c>
      <c r="D139" s="2">
        <f>C71</f>
        <v>12</v>
      </c>
      <c r="E139" s="2" t="s">
        <v>807</v>
      </c>
      <c r="G139" s="2">
        <f>ROUND(G113+A137*3,0)</f>
        <v>1650</v>
      </c>
      <c r="H139" s="33">
        <f>ROUND(A137*11,0)</f>
        <v>2016</v>
      </c>
    </row>
    <row r="140" spans="1:8" ht="12">
      <c r="A140" s="2" t="s">
        <v>1118</v>
      </c>
      <c r="H140" s="33">
        <f>ROUND(A137*12,0)</f>
        <v>2200</v>
      </c>
    </row>
    <row r="141" ht="12">
      <c r="A141" s="2" t="s">
        <v>1119</v>
      </c>
    </row>
    <row r="142" spans="1:7" ht="12">
      <c r="A142" s="2">
        <f>ROUND(D76*D75^3/11*8*(D76/A137)^2,0)</f>
        <v>230</v>
      </c>
      <c r="B142" s="2" t="s">
        <v>874</v>
      </c>
      <c r="C142" s="5" t="str">
        <f>IF(A142&lt;E142,"&lt;","&gt;")</f>
        <v>&lt;</v>
      </c>
      <c r="D142" s="2" t="s">
        <v>1120</v>
      </c>
      <c r="E142" s="2">
        <f>B83</f>
        <v>984.1</v>
      </c>
      <c r="F142" s="2" t="s">
        <v>874</v>
      </c>
      <c r="G142" s="12" t="str">
        <f>IF(A142&lt;E142,"OK","NG")</f>
        <v>OK</v>
      </c>
    </row>
    <row r="144" ht="12">
      <c r="A144" s="2" t="s">
        <v>1121</v>
      </c>
    </row>
    <row r="145" spans="1:5" ht="12">
      <c r="A145" s="2" t="s">
        <v>1122</v>
      </c>
      <c r="C145" s="2" t="s">
        <v>1123</v>
      </c>
      <c r="D145" s="2">
        <f>A137</f>
        <v>183.3</v>
      </c>
      <c r="E145" s="2" t="s">
        <v>1124</v>
      </c>
    </row>
    <row r="146" spans="1:6" ht="12">
      <c r="A146" s="2" t="s">
        <v>1125</v>
      </c>
      <c r="C146" s="2">
        <f>ROUND(D145/D126,3)</f>
        <v>0.655</v>
      </c>
      <c r="D146" s="5" t="str">
        <f>IF(C146&gt;E146,"&gt;","&lt;")</f>
        <v>&lt;</v>
      </c>
      <c r="E146" s="8">
        <v>1.5</v>
      </c>
      <c r="F146" s="9" t="str">
        <f>IF(C146&lt;E146,"OK","NG")</f>
        <v>OK</v>
      </c>
    </row>
    <row r="147" ht="12">
      <c r="A147" s="2" t="s">
        <v>1145</v>
      </c>
    </row>
    <row r="148" spans="1:8" ht="12">
      <c r="A148" s="2" t="s">
        <v>1127</v>
      </c>
      <c r="B148" s="16">
        <f>'ms date'!B152</f>
        <v>11</v>
      </c>
      <c r="C148" s="2" t="s">
        <v>1128</v>
      </c>
      <c r="G148" s="8">
        <f>'ms date'!I152</f>
        <v>593.941</v>
      </c>
      <c r="H148" s="2" t="s">
        <v>1129</v>
      </c>
    </row>
    <row r="149" spans="1:7" ht="12">
      <c r="A149" s="2" t="s">
        <v>1130</v>
      </c>
      <c r="D149" s="2">
        <f>ROUND(G148*10^5/D150,0)</f>
        <v>1232</v>
      </c>
      <c r="E149" s="2" t="s">
        <v>1131</v>
      </c>
      <c r="G149" s="2">
        <f>G148*10^5</f>
        <v>59394100</v>
      </c>
    </row>
    <row r="150" spans="1:5" ht="12">
      <c r="A150" s="2" t="s">
        <v>1132</v>
      </c>
      <c r="B150" s="2" t="s">
        <v>1146</v>
      </c>
      <c r="D150" s="2">
        <f>'主桁'!B416</f>
        <v>48214</v>
      </c>
      <c r="E150" s="2" t="s">
        <v>1528</v>
      </c>
    </row>
    <row r="151" spans="1:8" ht="12">
      <c r="A151" s="2" t="s">
        <v>1134</v>
      </c>
      <c r="B151" s="16">
        <f>'ms date'!B315</f>
        <v>11</v>
      </c>
      <c r="C151" s="2" t="s">
        <v>1135</v>
      </c>
      <c r="G151" s="8">
        <f>'ms date'!G315</f>
        <v>38.419000000000004</v>
      </c>
      <c r="H151" s="2" t="s">
        <v>1136</v>
      </c>
    </row>
    <row r="152" spans="1:7" ht="12">
      <c r="A152" s="2" t="s">
        <v>1137</v>
      </c>
      <c r="D152" s="2">
        <f>ROUND(G151*10^3/D153,0)</f>
        <v>175</v>
      </c>
      <c r="E152" s="2" t="s">
        <v>1138</v>
      </c>
      <c r="G152" s="2">
        <f>G151*10^3</f>
        <v>38419.00000000001</v>
      </c>
    </row>
    <row r="153" spans="1:5" ht="12">
      <c r="A153" s="2" t="s">
        <v>1139</v>
      </c>
      <c r="D153" s="2">
        <f>D100*D101</f>
        <v>220</v>
      </c>
      <c r="E153" s="2" t="s">
        <v>1140</v>
      </c>
    </row>
    <row r="154" ht="12">
      <c r="A154" s="2" t="s">
        <v>1141</v>
      </c>
    </row>
    <row r="155" ht="12">
      <c r="A155" s="10" t="s">
        <v>1142</v>
      </c>
    </row>
    <row r="156" spans="1:5" ht="12">
      <c r="A156" s="2" t="s">
        <v>897</v>
      </c>
      <c r="B156" s="2">
        <f>C146</f>
        <v>0.655</v>
      </c>
      <c r="C156" s="5" t="str">
        <f>IF(B156&gt;D156,"&gt;","&lt;")</f>
        <v>&lt;</v>
      </c>
      <c r="D156" s="8">
        <v>0.8</v>
      </c>
      <c r="E156" s="2" t="s">
        <v>1143</v>
      </c>
    </row>
    <row r="157" ht="12">
      <c r="A157" s="2" t="str">
        <f>IF(B156&gt;D156,"(hw/(100*tw))^4*((σ/9500)^2+(τ/(1270+610(hw/a)^2)^2))","(hw/(100*tw))^4*((σ/9500)^2+(τ/(950+810(hw/a)^2)^2))")</f>
        <v>(hw/(100*tw))^4*((σ/9500)^2+(τ/(950+810(hw/a)^2)^2))</v>
      </c>
    </row>
    <row r="158" spans="2:5" ht="12">
      <c r="B158" s="2">
        <f>IF(B156&gt;D156,ROUND((D100/(100*D101))^4*((D149/9500)^2+(D152/(1270+610*(D100/D145)^2))^2),2),ROUND((D100/(100*D101))^4*((D149/9500)^2+(D152/(950+810*(D100/D145)^2))^2),2))</f>
        <v>0.55</v>
      </c>
      <c r="C158" s="5" t="str">
        <f>IF(B158&gt;=D158,"&gt;=","&lt;=")</f>
        <v>&lt;=</v>
      </c>
      <c r="D158" s="8">
        <v>1</v>
      </c>
      <c r="E158" s="9" t="str">
        <f>IF(B158&lt;D158,"OK","NG")</f>
        <v>OK</v>
      </c>
    </row>
    <row r="160" ht="12">
      <c r="A160" s="2" t="s">
        <v>1147</v>
      </c>
    </row>
    <row r="161" spans="1:5" ht="12">
      <c r="A161" s="2" t="s">
        <v>1148</v>
      </c>
      <c r="D161" s="2">
        <f>D100</f>
        <v>220</v>
      </c>
      <c r="E161" s="2" t="s">
        <v>567</v>
      </c>
    </row>
    <row r="162" spans="1:5" ht="12">
      <c r="A162" s="2" t="s">
        <v>1149</v>
      </c>
      <c r="D162" s="2">
        <f>D101</f>
        <v>1</v>
      </c>
      <c r="E162" s="2" t="s">
        <v>567</v>
      </c>
    </row>
    <row r="163" ht="12">
      <c r="A163" s="3" t="s">
        <v>1150</v>
      </c>
    </row>
    <row r="164" spans="1:2" ht="12">
      <c r="A164" s="67">
        <f>ROUND('床版'!I7/3*100,1)</f>
        <v>183.3</v>
      </c>
      <c r="B164" s="2" t="s">
        <v>567</v>
      </c>
    </row>
    <row r="166" spans="1:5" ht="12">
      <c r="A166" s="2" t="s">
        <v>1500</v>
      </c>
      <c r="D166" s="2">
        <f>'主桁'!B419</f>
        <v>1385</v>
      </c>
      <c r="E166" s="2" t="s">
        <v>1131</v>
      </c>
    </row>
    <row r="167" ht="12">
      <c r="A167" s="2" t="s">
        <v>1151</v>
      </c>
    </row>
    <row r="168" spans="1:5" ht="12">
      <c r="A168" s="2" t="s">
        <v>1152</v>
      </c>
      <c r="D168" s="2">
        <f>'ms date'!G337*10^3</f>
        <v>16082.999999999998</v>
      </c>
      <c r="E168" s="2" t="s">
        <v>1153</v>
      </c>
    </row>
    <row r="169" ht="12">
      <c r="A169" s="2" t="s">
        <v>1154</v>
      </c>
    </row>
    <row r="170" spans="1:5" ht="12">
      <c r="A170" s="2" t="s">
        <v>1155</v>
      </c>
      <c r="D170" s="2">
        <f>D161*D162</f>
        <v>220</v>
      </c>
      <c r="E170" s="2" t="s">
        <v>820</v>
      </c>
    </row>
    <row r="171" spans="1:5" ht="12">
      <c r="A171" s="2" t="s">
        <v>1156</v>
      </c>
      <c r="D171" s="2">
        <f>ROUND(D168/D170,0)</f>
        <v>73</v>
      </c>
      <c r="E171" s="2" t="s">
        <v>1138</v>
      </c>
    </row>
    <row r="172" ht="12">
      <c r="A172" s="2" t="s">
        <v>1141</v>
      </c>
    </row>
    <row r="173" ht="12">
      <c r="A173" s="2" t="s">
        <v>1142</v>
      </c>
    </row>
    <row r="174" spans="1:5" ht="12">
      <c r="A174" s="2" t="s">
        <v>897</v>
      </c>
      <c r="B174" s="2">
        <f>ROUND(A164/D161,3)</f>
        <v>0.833</v>
      </c>
      <c r="C174" s="5" t="str">
        <f>IF(B174&gt;D174,"&gt;","&lt;")</f>
        <v>&gt;</v>
      </c>
      <c r="D174" s="8">
        <v>0.8</v>
      </c>
      <c r="E174" s="2" t="s">
        <v>1143</v>
      </c>
    </row>
    <row r="175" ht="12">
      <c r="A175" s="2" t="str">
        <f>IF(B174&gt;D174,"(hw/(100*tw))^4*((σ/9500)^2+(τ/(1270+610(hw/a)^2)^2))","(hw/(100*tw))^4*((σ/9500)^2+(τ/(950+810(hw/a)^2)^2))")</f>
        <v>(hw/(100*tw))^4*((σ/9500)^2+(τ/(1270+610(hw/a)^2)^2))</v>
      </c>
    </row>
    <row r="176" spans="2:5" ht="12">
      <c r="B176" s="2">
        <f>IF(B174&gt;D174,ROUND((D161/(100*D162))^4*((D166/9500)^2+(D171/(1270+610*(D161/A164)^2))^2),2),ROUND((D161/(100*D162))^4*((D166/9500)^2+(D171/(950+810*(D161/A164)^2))^2),2))</f>
        <v>0.52</v>
      </c>
      <c r="C176" s="5" t="str">
        <f>IF(B176&gt;D176,"&gt;","&lt;")</f>
        <v>&lt;</v>
      </c>
      <c r="D176" s="8">
        <v>1</v>
      </c>
      <c r="E176" s="9" t="str">
        <f>IF(B176&lt;D176,"OK","NG")</f>
        <v>OK</v>
      </c>
    </row>
    <row r="177" ht="12">
      <c r="A177" s="3" t="s">
        <v>1157</v>
      </c>
    </row>
    <row r="178" ht="12">
      <c r="A178" s="2" t="s">
        <v>1158</v>
      </c>
    </row>
    <row r="179" ht="12">
      <c r="A179" s="2" t="s">
        <v>1159</v>
      </c>
    </row>
    <row r="180" ht="12">
      <c r="A180" s="2" t="s">
        <v>1160</v>
      </c>
    </row>
    <row r="181" spans="1:6" ht="12">
      <c r="A181" s="2" t="s">
        <v>1161</v>
      </c>
      <c r="E181" s="2">
        <f>E183*0.2</f>
        <v>44</v>
      </c>
      <c r="F181" s="2" t="s">
        <v>878</v>
      </c>
    </row>
    <row r="182" ht="12">
      <c r="A182" s="2" t="s">
        <v>1162</v>
      </c>
    </row>
    <row r="183" spans="1:6" ht="12">
      <c r="A183" s="2" t="s">
        <v>1163</v>
      </c>
      <c r="E183" s="12">
        <f>'主桁'!H304</f>
        <v>220</v>
      </c>
      <c r="F183" s="2" t="s">
        <v>11</v>
      </c>
    </row>
    <row r="184" spans="1:6" ht="12">
      <c r="A184" s="2" t="s">
        <v>1164</v>
      </c>
      <c r="E184" s="12">
        <f>'主桁'!E305</f>
        <v>1</v>
      </c>
      <c r="F184" s="2" t="s">
        <v>11</v>
      </c>
    </row>
    <row r="185" spans="1:6" ht="12">
      <c r="A185" s="2" t="s">
        <v>1165</v>
      </c>
      <c r="E185" s="2">
        <f>IF(IF(C61&lt;A111,A111,C61)&lt;IF(C61&lt;A137,A137,C61),IF(C61&lt;A137,A137,C61),IF(C61&lt;A111,A111,C61))</f>
        <v>183.3</v>
      </c>
      <c r="F185" s="2" t="s">
        <v>878</v>
      </c>
    </row>
    <row r="186" ht="12">
      <c r="A186" s="2" t="s">
        <v>1166</v>
      </c>
    </row>
    <row r="187" spans="1:5" ht="12">
      <c r="A187" s="2" t="s">
        <v>1167</v>
      </c>
      <c r="E187" s="2">
        <f>ROUND(E183*E184^3/11*30*(E185/E183),0)</f>
        <v>500</v>
      </c>
    </row>
    <row r="188" spans="1:2" ht="12">
      <c r="A188" s="2" t="s">
        <v>1168</v>
      </c>
      <c r="B188" s="2" t="s">
        <v>1117</v>
      </c>
    </row>
    <row r="189" spans="2:5" ht="12">
      <c r="B189" s="64">
        <v>130</v>
      </c>
      <c r="C189" s="5" t="s">
        <v>806</v>
      </c>
      <c r="D189" s="64">
        <v>36</v>
      </c>
      <c r="E189" s="2" t="s">
        <v>1169</v>
      </c>
    </row>
    <row r="190" ht="12">
      <c r="A190" s="2" t="s">
        <v>1170</v>
      </c>
    </row>
    <row r="191" spans="2:5" ht="12">
      <c r="B191" s="2" t="s">
        <v>1171</v>
      </c>
      <c r="C191" s="2" t="s">
        <v>1172</v>
      </c>
      <c r="D191" s="2" t="s">
        <v>1173</v>
      </c>
      <c r="E191" s="2" t="s">
        <v>1174</v>
      </c>
    </row>
    <row r="192" spans="2:5" ht="12">
      <c r="B192" s="2">
        <f>B189/10*D189/10</f>
        <v>46.8</v>
      </c>
      <c r="C192" s="2">
        <f>B189/2/10+E184/2</f>
        <v>7</v>
      </c>
      <c r="D192" s="2">
        <f>ROUND(B192*C192^2,0)</f>
        <v>2293</v>
      </c>
      <c r="E192" s="2">
        <f>ROUND(((B189/10)^2*D189/10)/12,0)</f>
        <v>51</v>
      </c>
    </row>
    <row r="193" spans="1:8" ht="12">
      <c r="A193" s="2" t="s">
        <v>1175</v>
      </c>
      <c r="B193" s="2">
        <f>SUM(D192,E192)</f>
        <v>2344</v>
      </c>
      <c r="C193" s="2" t="s">
        <v>1176</v>
      </c>
      <c r="D193" s="5" t="str">
        <f>IF(B193&gt;F193,"&gt;","&lt;")</f>
        <v>&gt;</v>
      </c>
      <c r="E193" s="2" t="s">
        <v>1177</v>
      </c>
      <c r="F193" s="2">
        <f>E187</f>
        <v>500</v>
      </c>
      <c r="G193" s="2" t="s">
        <v>1176</v>
      </c>
      <c r="H193" s="9" t="str">
        <f>IF(B193&gt;F193,"OK","NG")</f>
        <v>OK</v>
      </c>
    </row>
  </sheetData>
  <sheetProtection password="AF41" sheet="1" objects="1" scenarios="1"/>
  <dataValidations count="1">
    <dataValidation errorStyle="warning" type="list" operator="equal" allowBlank="1" showInputMessage="1" showErrorMessage="1" promptTitle="リストから選択できます" prompt="リストから選択されることをお勧めします" errorTitle="リストから選択されませんでした" error="リストからの再入力をお勧めします" imeMode="halfAlpha" sqref="D189">
      <formula1>"9,10,11,12,13,14,15,16,18,19,20,22,25,28,32,36,38,40,45,50"</formula1>
    </dataValidation>
  </dataValidations>
  <printOptions horizontalCentered="1"/>
  <pageMargins left="0.2362204724409449" right="0.2755905511811024" top="0.8267716535433072" bottom="0.4724409448818898" header="0.6692913385826772" footer="0.5118110236220472"/>
  <pageSetup horizontalDpi="600" verticalDpi="600" orientation="portrait" paperSize="9" r:id="rId1"/>
  <rowBreaks count="3" manualBreakCount="3">
    <brk id="56" max="255" man="1"/>
    <brk id="107" max="255" man="1"/>
    <brk id="159" max="255" man="1"/>
  </rowBreaks>
</worksheet>
</file>

<file path=xl/worksheets/sheet4.xml><?xml version="1.0" encoding="utf-8"?>
<worksheet xmlns="http://schemas.openxmlformats.org/spreadsheetml/2006/main" xmlns:r="http://schemas.openxmlformats.org/officeDocument/2006/relationships">
  <sheetPr codeName="Sheet4"/>
  <dimension ref="A1:Q202"/>
  <sheetViews>
    <sheetView zoomScale="80" zoomScaleNormal="80" zoomScalePageLayoutView="0" workbookViewId="0" topLeftCell="A177">
      <selection activeCell="D30" sqref="D30"/>
    </sheetView>
  </sheetViews>
  <sheetFormatPr defaultColWidth="9.00390625" defaultRowHeight="13.5"/>
  <cols>
    <col min="1" max="1" width="12.625" style="2" customWidth="1"/>
    <col min="2" max="2" width="10.875" style="2" customWidth="1"/>
    <col min="3" max="6" width="8.375" style="2" customWidth="1"/>
    <col min="7" max="9" width="8.125" style="2" customWidth="1"/>
    <col min="10" max="16384" width="9.00390625" style="2" customWidth="1"/>
  </cols>
  <sheetData>
    <row r="1" spans="1:8" ht="12">
      <c r="A1" s="2" t="s">
        <v>1501</v>
      </c>
      <c r="G1" s="2">
        <f>('床版'!C6-15)/2</f>
        <v>9</v>
      </c>
      <c r="H1" s="2" t="s">
        <v>1269</v>
      </c>
    </row>
    <row r="2" spans="1:8" ht="12">
      <c r="A2" s="2" t="s">
        <v>1538</v>
      </c>
      <c r="G2" s="64">
        <v>10</v>
      </c>
      <c r="H2" s="2" t="s">
        <v>1502</v>
      </c>
    </row>
    <row r="3" ht="12">
      <c r="A3" s="2" t="s">
        <v>1503</v>
      </c>
    </row>
    <row r="4" ht="12">
      <c r="A4" s="2" t="s">
        <v>1505</v>
      </c>
    </row>
    <row r="5" spans="1:5" ht="12">
      <c r="A5" s="2" t="s">
        <v>1506</v>
      </c>
      <c r="E5" s="4"/>
    </row>
    <row r="6" spans="1:8" ht="12">
      <c r="A6" s="5" t="s">
        <v>1507</v>
      </c>
      <c r="B6" s="5" t="s">
        <v>1508</v>
      </c>
      <c r="C6" s="5" t="s">
        <v>1509</v>
      </c>
      <c r="D6" s="5" t="s">
        <v>1510</v>
      </c>
      <c r="E6" s="5" t="s">
        <v>1511</v>
      </c>
      <c r="F6" s="5" t="s">
        <v>1512</v>
      </c>
      <c r="G6" s="5" t="s">
        <v>1513</v>
      </c>
      <c r="H6" s="2" t="s">
        <v>1423</v>
      </c>
    </row>
    <row r="7" spans="1:11" ht="12">
      <c r="A7" s="2">
        <f>G2</f>
        <v>10</v>
      </c>
      <c r="B7" s="6">
        <f>ROUND('ms date'!F15*'ms date'!E2^2/2*('外桁継手'!A7/'ms date'!E2*(1-'外桁継手'!A7/'ms date'!E2)),3)</f>
        <v>238.395</v>
      </c>
      <c r="C7" s="6">
        <f>ROUND('ms date'!F16*'ms date'!E2^2/2*(A7/'ms date'!E2*(1-A7/'ms date'!E2)),3)</f>
        <v>61.41</v>
      </c>
      <c r="D7" s="6">
        <f>ROUND(A7*(1-'ms date'!E4),3)</f>
        <v>6.97</v>
      </c>
      <c r="E7" s="6">
        <f>'ms date'!E2-D7-'ms date'!E3</f>
        <v>16.03</v>
      </c>
      <c r="F7" s="6">
        <f>ROUND('ms date'!F17*'ms date'!E4/2*('ms date'!E3+2*E7)*A7-'ms date'!F17/2*(A7-D7)^2,3)</f>
        <v>90.233</v>
      </c>
      <c r="G7" s="6">
        <f>ROUND((F7+C7)*'ms date'!F18,3)</f>
        <v>36.849</v>
      </c>
      <c r="H7" s="7">
        <f>B7+F7+C7+G7</f>
        <v>426.887</v>
      </c>
      <c r="K7" s="2" t="s">
        <v>1423</v>
      </c>
    </row>
    <row r="8" spans="1:11" ht="12">
      <c r="A8" s="2" t="s">
        <v>1514</v>
      </c>
      <c r="D8" s="7">
        <f>H7</f>
        <v>426.887</v>
      </c>
      <c r="E8" s="2" t="s">
        <v>1515</v>
      </c>
      <c r="K8" s="2">
        <f>H7*10^5</f>
        <v>42688700</v>
      </c>
    </row>
    <row r="9" spans="1:11" ht="12">
      <c r="A9" s="5" t="s">
        <v>1516</v>
      </c>
      <c r="B9" s="5" t="s">
        <v>1517</v>
      </c>
      <c r="C9" s="5" t="s">
        <v>1518</v>
      </c>
      <c r="D9" s="5" t="s">
        <v>1519</v>
      </c>
      <c r="E9" s="5" t="s">
        <v>1520</v>
      </c>
      <c r="F9" s="2" t="s">
        <v>1521</v>
      </c>
      <c r="K9" s="2" t="s">
        <v>1521</v>
      </c>
    </row>
    <row r="10" spans="1:11" ht="12">
      <c r="A10" s="2">
        <f>G2</f>
        <v>10</v>
      </c>
      <c r="B10" s="6">
        <f>ROUND('ms date'!F183*'ms date'!E2*(1/2-A10/'ms date'!E2),3)</f>
        <v>13.475</v>
      </c>
      <c r="C10" s="6">
        <f>ROUND(('ms date'!F184*'ms date'!E2)/2*(1-A10/'ms date'!E2)^2,3)</f>
        <v>4.28</v>
      </c>
      <c r="D10" s="6">
        <f>ROUND('ms date'!F266*'ms date'!E3*('ms date'!E2-A10-'ms date'!E3/2)/'ms date'!E2,3)</f>
        <v>15.055</v>
      </c>
      <c r="E10" s="6">
        <f>ROUND((D10+C10)*'ms date'!F186,3)</f>
        <v>4.698</v>
      </c>
      <c r="F10" s="6">
        <f>SUM(B10:E10)</f>
        <v>37.508</v>
      </c>
      <c r="K10" s="2">
        <f>F10*10^3</f>
        <v>37508</v>
      </c>
    </row>
    <row r="11" spans="1:5" ht="12">
      <c r="A11" s="2" t="s">
        <v>1522</v>
      </c>
      <c r="D11" s="6">
        <f>F10</f>
        <v>37.508</v>
      </c>
      <c r="E11" s="2" t="s">
        <v>1523</v>
      </c>
    </row>
    <row r="12" ht="12">
      <c r="A12" s="2" t="s">
        <v>1524</v>
      </c>
    </row>
    <row r="13" spans="1:5" ht="12">
      <c r="A13" s="2" t="s">
        <v>1525</v>
      </c>
      <c r="C13" s="2">
        <f>'主桁'!B313</f>
        <v>510</v>
      </c>
      <c r="D13" s="5" t="s">
        <v>1526</v>
      </c>
      <c r="E13" s="2">
        <f>'主桁'!D313</f>
        <v>36</v>
      </c>
    </row>
    <row r="14" spans="1:5" ht="12">
      <c r="A14" s="2" t="s">
        <v>1527</v>
      </c>
      <c r="D14" s="2">
        <f>'主桁'!B322</f>
        <v>48214</v>
      </c>
      <c r="E14" s="2" t="s">
        <v>1528</v>
      </c>
    </row>
    <row r="15" spans="1:5" ht="12">
      <c r="A15" s="2" t="s">
        <v>1529</v>
      </c>
      <c r="D15" s="2">
        <f>'主桁'!F313</f>
        <v>183.6</v>
      </c>
      <c r="E15" s="2" t="s">
        <v>1530</v>
      </c>
    </row>
    <row r="16" spans="1:3" ht="12">
      <c r="A16" s="2" t="s">
        <v>1531</v>
      </c>
      <c r="C16" s="33">
        <f>'主桁'!E303</f>
        <v>1400</v>
      </c>
    </row>
    <row r="17" spans="1:6" ht="12">
      <c r="A17" s="2">
        <f>ROUND(D8*10^5/D14,0)</f>
        <v>885</v>
      </c>
      <c r="B17" s="2" t="s">
        <v>1532</v>
      </c>
      <c r="C17" s="5" t="str">
        <f>IF(A17&lt;E17,"&lt;","&gt;")</f>
        <v>&lt;</v>
      </c>
      <c r="D17" s="2" t="s">
        <v>1533</v>
      </c>
      <c r="E17" s="2">
        <f>0.75*'主桁'!E303</f>
        <v>1050</v>
      </c>
      <c r="F17" s="2" t="s">
        <v>1532</v>
      </c>
    </row>
    <row r="18" ht="12">
      <c r="A18" s="2" t="s">
        <v>1539</v>
      </c>
    </row>
    <row r="19" ht="12">
      <c r="A19" s="2" t="s">
        <v>0</v>
      </c>
    </row>
    <row r="20" spans="1:6" ht="12">
      <c r="A20" s="2">
        <f>A17</f>
        <v>885</v>
      </c>
      <c r="B20" s="2" t="s">
        <v>1</v>
      </c>
      <c r="C20" s="5" t="str">
        <f>IF(A20&lt;E20,"&lt;","&gt;")</f>
        <v>&lt;</v>
      </c>
      <c r="D20" s="2" t="s">
        <v>2</v>
      </c>
      <c r="E20" s="2">
        <f>E17</f>
        <v>1050</v>
      </c>
      <c r="F20" s="2" t="s">
        <v>1</v>
      </c>
    </row>
    <row r="21" spans="1:7" ht="12">
      <c r="A21" s="2" t="s">
        <v>3</v>
      </c>
      <c r="D21" s="2" t="str">
        <f>IF(A17&lt;E17,"許容応力","実応力")</f>
        <v>許容応力</v>
      </c>
      <c r="E21" s="12">
        <f>IF(A17&lt;E17,E17,A17)</f>
        <v>1050</v>
      </c>
      <c r="F21" s="2" t="s">
        <v>1532</v>
      </c>
      <c r="G21" s="2" t="s">
        <v>1534</v>
      </c>
    </row>
    <row r="22" ht="12">
      <c r="A22" s="2" t="s">
        <v>4</v>
      </c>
    </row>
    <row r="24" spans="1:7" ht="12">
      <c r="A24" s="2" t="s">
        <v>5</v>
      </c>
      <c r="D24" s="2">
        <f>'主桁'!H304</f>
        <v>220</v>
      </c>
      <c r="E24" s="2" t="s">
        <v>6</v>
      </c>
      <c r="F24" s="2">
        <f>D24*10</f>
        <v>2200</v>
      </c>
      <c r="G24" s="2" t="s">
        <v>7</v>
      </c>
    </row>
    <row r="25" spans="1:7" ht="12">
      <c r="A25" s="2" t="s">
        <v>8</v>
      </c>
      <c r="D25" s="2">
        <f>D24/2</f>
        <v>110</v>
      </c>
      <c r="E25" s="2" t="s">
        <v>6</v>
      </c>
      <c r="F25" s="2">
        <f>D25*10</f>
        <v>1100</v>
      </c>
      <c r="G25" s="2" t="s">
        <v>7</v>
      </c>
    </row>
    <row r="26" ht="12">
      <c r="A26" s="2" t="s">
        <v>9</v>
      </c>
    </row>
    <row r="27" spans="1:7" ht="12">
      <c r="A27" s="2" t="s">
        <v>603</v>
      </c>
      <c r="D27" s="2">
        <f>E13/10</f>
        <v>3.6</v>
      </c>
      <c r="E27" s="2" t="s">
        <v>6</v>
      </c>
      <c r="F27" s="2">
        <f>D27*10</f>
        <v>36</v>
      </c>
      <c r="G27" s="2" t="s">
        <v>7</v>
      </c>
    </row>
    <row r="28" spans="1:9" ht="12">
      <c r="A28" s="2" t="s">
        <v>10</v>
      </c>
      <c r="D28" s="8">
        <v>9.5</v>
      </c>
      <c r="E28" s="2" t="s">
        <v>6</v>
      </c>
      <c r="F28" s="2">
        <f>D28*10</f>
        <v>95</v>
      </c>
      <c r="G28" s="2" t="s">
        <v>7</v>
      </c>
      <c r="I28" s="2" t="s">
        <v>802</v>
      </c>
    </row>
    <row r="29" spans="1:7" ht="12">
      <c r="A29" s="2" t="s">
        <v>559</v>
      </c>
      <c r="D29" s="8">
        <v>4</v>
      </c>
      <c r="E29" s="2" t="s">
        <v>11</v>
      </c>
      <c r="F29" s="2">
        <f aca="true" t="shared" si="0" ref="F29:F34">D29*10</f>
        <v>40</v>
      </c>
      <c r="G29" s="2" t="s">
        <v>12</v>
      </c>
    </row>
    <row r="30" spans="1:7" ht="12">
      <c r="A30" s="2" t="s">
        <v>13</v>
      </c>
      <c r="D30" s="64">
        <v>10</v>
      </c>
      <c r="E30" s="2" t="s">
        <v>14</v>
      </c>
      <c r="F30" s="2">
        <f t="shared" si="0"/>
        <v>100</v>
      </c>
      <c r="G30" s="2" t="s">
        <v>15</v>
      </c>
    </row>
    <row r="31" spans="1:7" ht="12">
      <c r="A31" s="2" t="s">
        <v>16</v>
      </c>
      <c r="D31" s="8">
        <v>8.5</v>
      </c>
      <c r="E31" s="2" t="s">
        <v>14</v>
      </c>
      <c r="F31" s="2">
        <f>D31*10</f>
        <v>85</v>
      </c>
      <c r="G31" s="2" t="s">
        <v>15</v>
      </c>
    </row>
    <row r="32" spans="1:7" ht="12">
      <c r="A32" s="2" t="s">
        <v>17</v>
      </c>
      <c r="D32" s="12">
        <f>D24-(D28*2+D30*2+D31*2)</f>
        <v>164</v>
      </c>
      <c r="E32" s="2" t="s">
        <v>18</v>
      </c>
      <c r="F32" s="2">
        <f>D32*10</f>
        <v>1640</v>
      </c>
      <c r="G32" s="2" t="s">
        <v>19</v>
      </c>
    </row>
    <row r="33" spans="1:7" ht="12">
      <c r="A33" s="2" t="s">
        <v>20</v>
      </c>
      <c r="B33" s="2" t="s">
        <v>21</v>
      </c>
      <c r="D33" s="64">
        <v>13.6</v>
      </c>
      <c r="E33" s="2" t="s">
        <v>14</v>
      </c>
      <c r="F33" s="2">
        <f>D33*10</f>
        <v>136</v>
      </c>
      <c r="G33" s="2" t="s">
        <v>15</v>
      </c>
    </row>
    <row r="34" spans="1:8" ht="12">
      <c r="A34" s="2" t="s">
        <v>22</v>
      </c>
      <c r="B34" s="2" t="s">
        <v>601</v>
      </c>
      <c r="C34" s="64">
        <v>12</v>
      </c>
      <c r="D34" s="2">
        <f>C34*D33</f>
        <v>163.2</v>
      </c>
      <c r="E34" s="2" t="s">
        <v>18</v>
      </c>
      <c r="F34" s="2">
        <f t="shared" si="0"/>
        <v>1632</v>
      </c>
      <c r="G34" s="2" t="s">
        <v>19</v>
      </c>
      <c r="H34" s="2">
        <f>D32/C34</f>
        <v>13.666666666666666</v>
      </c>
    </row>
    <row r="35" spans="1:11" ht="12">
      <c r="A35" s="2" t="s">
        <v>1535</v>
      </c>
      <c r="D35" s="2">
        <f>(D24-D36)/2</f>
        <v>0.4000000000000057</v>
      </c>
      <c r="E35" s="2" t="s">
        <v>23</v>
      </c>
      <c r="F35" s="2">
        <f>D35*10</f>
        <v>4.000000000000057</v>
      </c>
      <c r="G35" s="2" t="s">
        <v>24</v>
      </c>
      <c r="H35" s="5" t="str">
        <f>IF(D35&lt;D42,"&lt;","&gt;")</f>
        <v>&lt;</v>
      </c>
      <c r="I35" s="2">
        <f>F42</f>
        <v>5</v>
      </c>
      <c r="J35" s="2" t="s">
        <v>939</v>
      </c>
      <c r="K35" s="9" t="str">
        <f>IF(I35&gt;F35,"OK","NG")</f>
        <v>OK</v>
      </c>
    </row>
    <row r="36" spans="1:7" ht="12">
      <c r="A36" s="2" t="s">
        <v>25</v>
      </c>
      <c r="D36" s="2">
        <f>D28*2+D30*2+D31*2+D34</f>
        <v>219.2</v>
      </c>
      <c r="E36" s="2" t="s">
        <v>26</v>
      </c>
      <c r="F36" s="2">
        <f>D36*10</f>
        <v>2192</v>
      </c>
      <c r="G36" s="2" t="s">
        <v>27</v>
      </c>
    </row>
    <row r="37" spans="1:5" ht="12">
      <c r="A37" s="2" t="s">
        <v>28</v>
      </c>
      <c r="B37" s="2">
        <f>D24+D27*2</f>
        <v>227.2</v>
      </c>
      <c r="C37" s="5" t="str">
        <f>IF(B37&lt;D37,"&lt;","&gt;")</f>
        <v>&gt;</v>
      </c>
      <c r="D37" s="2">
        <f>D36</f>
        <v>219.2</v>
      </c>
      <c r="E37" s="9" t="str">
        <f>IF(B37&gt;D37,"OK","NG")</f>
        <v>OK</v>
      </c>
    </row>
    <row r="38" spans="1:3" s="10" customFormat="1" ht="12">
      <c r="A38" s="2" t="s">
        <v>29</v>
      </c>
      <c r="C38" s="11"/>
    </row>
    <row r="39" spans="1:7" s="10" customFormat="1" ht="12">
      <c r="A39" s="10" t="s">
        <v>30</v>
      </c>
      <c r="C39" s="11"/>
      <c r="D39" s="10">
        <f>D27</f>
        <v>3.6</v>
      </c>
      <c r="E39" s="2" t="s">
        <v>6</v>
      </c>
      <c r="F39" s="2">
        <f>D39*10</f>
        <v>36</v>
      </c>
      <c r="G39" s="2" t="s">
        <v>7</v>
      </c>
    </row>
    <row r="40" spans="1:7" s="10" customFormat="1" ht="12">
      <c r="A40" s="10" t="s">
        <v>31</v>
      </c>
      <c r="C40" s="11"/>
      <c r="D40" s="10">
        <f>D28-D29</f>
        <v>5.5</v>
      </c>
      <c r="E40" s="2" t="s">
        <v>6</v>
      </c>
      <c r="F40" s="2">
        <f aca="true" t="shared" si="1" ref="F40:F47">D40*10</f>
        <v>55</v>
      </c>
      <c r="G40" s="2" t="s">
        <v>7</v>
      </c>
    </row>
    <row r="41" spans="1:7" s="10" customFormat="1" ht="12">
      <c r="A41" s="10" t="s">
        <v>32</v>
      </c>
      <c r="C41" s="11"/>
      <c r="D41" s="10">
        <f>D29*2+D30</f>
        <v>18</v>
      </c>
      <c r="E41" s="2" t="s">
        <v>6</v>
      </c>
      <c r="F41" s="2">
        <f t="shared" si="1"/>
        <v>180</v>
      </c>
      <c r="G41" s="2" t="s">
        <v>7</v>
      </c>
    </row>
    <row r="42" spans="1:7" s="10" customFormat="1" ht="12">
      <c r="A42" s="10" t="s">
        <v>33</v>
      </c>
      <c r="C42" s="11"/>
      <c r="D42" s="10">
        <f>D31-D29*2</f>
        <v>0.5</v>
      </c>
      <c r="E42" s="2" t="s">
        <v>6</v>
      </c>
      <c r="F42" s="2">
        <f t="shared" si="1"/>
        <v>5</v>
      </c>
      <c r="G42" s="2" t="s">
        <v>7</v>
      </c>
    </row>
    <row r="43" spans="1:7" s="10" customFormat="1" ht="12">
      <c r="A43" s="10" t="s">
        <v>560</v>
      </c>
      <c r="C43" s="11" t="s">
        <v>716</v>
      </c>
      <c r="D43" s="10">
        <f>D29*2+D34+D35*2</f>
        <v>172</v>
      </c>
      <c r="E43" s="2" t="s">
        <v>6</v>
      </c>
      <c r="F43" s="2">
        <f t="shared" si="1"/>
        <v>1720</v>
      </c>
      <c r="G43" s="2" t="s">
        <v>7</v>
      </c>
    </row>
    <row r="44" spans="1:7" s="10" customFormat="1" ht="12">
      <c r="A44" s="10" t="s">
        <v>561</v>
      </c>
      <c r="C44" s="11"/>
      <c r="D44" s="10">
        <f>D42</f>
        <v>0.5</v>
      </c>
      <c r="E44" s="2" t="s">
        <v>6</v>
      </c>
      <c r="F44" s="2">
        <f t="shared" si="1"/>
        <v>5</v>
      </c>
      <c r="G44" s="2" t="s">
        <v>7</v>
      </c>
    </row>
    <row r="45" spans="1:7" s="10" customFormat="1" ht="12">
      <c r="A45" s="10" t="s">
        <v>562</v>
      </c>
      <c r="C45" s="11"/>
      <c r="D45" s="10">
        <f>D41</f>
        <v>18</v>
      </c>
      <c r="E45" s="2" t="s">
        <v>6</v>
      </c>
      <c r="F45" s="2">
        <f t="shared" si="1"/>
        <v>180</v>
      </c>
      <c r="G45" s="2" t="s">
        <v>7</v>
      </c>
    </row>
    <row r="46" spans="1:7" s="10" customFormat="1" ht="12">
      <c r="A46" s="10" t="s">
        <v>563</v>
      </c>
      <c r="C46" s="11"/>
      <c r="D46" s="10">
        <f>D40</f>
        <v>5.5</v>
      </c>
      <c r="E46" s="2" t="s">
        <v>6</v>
      </c>
      <c r="F46" s="2">
        <f t="shared" si="1"/>
        <v>55</v>
      </c>
      <c r="G46" s="2" t="s">
        <v>7</v>
      </c>
    </row>
    <row r="47" spans="1:7" s="10" customFormat="1" ht="12">
      <c r="A47" s="10" t="s">
        <v>564</v>
      </c>
      <c r="C47" s="11"/>
      <c r="D47" s="10">
        <f>D39</f>
        <v>3.6</v>
      </c>
      <c r="E47" s="2" t="s">
        <v>6</v>
      </c>
      <c r="F47" s="2">
        <f t="shared" si="1"/>
        <v>36</v>
      </c>
      <c r="G47" s="2" t="s">
        <v>7</v>
      </c>
    </row>
    <row r="48" ht="12">
      <c r="A48" s="2" t="s">
        <v>565</v>
      </c>
    </row>
    <row r="49" ht="12">
      <c r="A49" s="2" t="s">
        <v>566</v>
      </c>
    </row>
    <row r="50" spans="1:7" ht="12">
      <c r="A50" s="5">
        <v>1</v>
      </c>
      <c r="D50" s="2">
        <f>D29</f>
        <v>4</v>
      </c>
      <c r="E50" s="2" t="s">
        <v>567</v>
      </c>
      <c r="F50" s="2">
        <f>D50*10</f>
        <v>40</v>
      </c>
      <c r="G50" s="2" t="s">
        <v>568</v>
      </c>
    </row>
    <row r="51" spans="1:7" ht="12">
      <c r="A51" s="5" t="s">
        <v>569</v>
      </c>
      <c r="B51" s="2" t="s">
        <v>570</v>
      </c>
      <c r="C51" s="64">
        <v>3</v>
      </c>
      <c r="D51" s="64">
        <v>7.5</v>
      </c>
      <c r="E51" s="2" t="s">
        <v>571</v>
      </c>
      <c r="F51" s="2">
        <f>D51*10</f>
        <v>75</v>
      </c>
      <c r="G51" s="2" t="s">
        <v>572</v>
      </c>
    </row>
    <row r="52" spans="1:7" ht="12">
      <c r="A52" s="5">
        <v>2</v>
      </c>
      <c r="C52" s="10"/>
      <c r="D52" s="12">
        <f>C51*D51</f>
        <v>22.5</v>
      </c>
      <c r="E52" s="2" t="s">
        <v>571</v>
      </c>
      <c r="F52" s="2">
        <f>D52*10</f>
        <v>225</v>
      </c>
      <c r="G52" s="2" t="s">
        <v>572</v>
      </c>
    </row>
    <row r="53" spans="1:7" ht="12">
      <c r="A53" s="5">
        <v>3</v>
      </c>
      <c r="B53" s="2" t="s">
        <v>573</v>
      </c>
      <c r="D53" s="8">
        <v>8.5</v>
      </c>
      <c r="E53" s="2" t="s">
        <v>571</v>
      </c>
      <c r="F53" s="2">
        <f>D53*10</f>
        <v>85</v>
      </c>
      <c r="G53" s="2" t="s">
        <v>572</v>
      </c>
    </row>
    <row r="54" ht="12">
      <c r="A54" s="2" t="s">
        <v>574</v>
      </c>
    </row>
    <row r="55" spans="1:7" ht="12">
      <c r="A55" s="2" t="s">
        <v>575</v>
      </c>
      <c r="D55" s="12">
        <f>D50*2+D52*2+D53</f>
        <v>61.5</v>
      </c>
      <c r="E55" s="2" t="s">
        <v>567</v>
      </c>
      <c r="F55" s="2">
        <f>D55*10</f>
        <v>615</v>
      </c>
      <c r="G55" s="2" t="s">
        <v>568</v>
      </c>
    </row>
    <row r="56" spans="1:7" ht="12">
      <c r="A56" s="2" t="s">
        <v>576</v>
      </c>
      <c r="B56" s="64">
        <v>4</v>
      </c>
      <c r="C56" s="2" t="s">
        <v>602</v>
      </c>
      <c r="D56" s="12">
        <f>D50*2+D51*2+D53</f>
        <v>31.5</v>
      </c>
      <c r="E56" s="2" t="s">
        <v>567</v>
      </c>
      <c r="F56" s="2">
        <f>D56*10</f>
        <v>315</v>
      </c>
      <c r="G56" s="2" t="s">
        <v>568</v>
      </c>
    </row>
    <row r="57" spans="1:4" ht="12">
      <c r="A57" s="12" t="s">
        <v>1537</v>
      </c>
      <c r="D57" s="10"/>
    </row>
    <row r="58" spans="1:5" ht="12">
      <c r="A58" s="12" t="s">
        <v>603</v>
      </c>
      <c r="B58" s="2">
        <f>ROUND($B$59*E58/$E$59,0)</f>
        <v>1084</v>
      </c>
      <c r="D58" s="10" t="s">
        <v>604</v>
      </c>
      <c r="E58" s="2">
        <f>E59+F39</f>
        <v>1136</v>
      </c>
    </row>
    <row r="59" spans="1:8" ht="12">
      <c r="A59" s="2" t="s">
        <v>577</v>
      </c>
      <c r="B59" s="2">
        <f>E21</f>
        <v>1050</v>
      </c>
      <c r="D59" s="10" t="s">
        <v>578</v>
      </c>
      <c r="E59" s="2">
        <f>F24/2</f>
        <v>1100</v>
      </c>
      <c r="G59" s="2">
        <v>1</v>
      </c>
      <c r="H59" s="2">
        <f>F27</f>
        <v>36</v>
      </c>
    </row>
    <row r="60" spans="1:8" ht="12">
      <c r="A60" s="2" t="s">
        <v>717</v>
      </c>
      <c r="B60" s="2">
        <f>ROUND($B$59*E60/$E$59,0)</f>
        <v>877</v>
      </c>
      <c r="D60" s="10" t="s">
        <v>579</v>
      </c>
      <c r="E60" s="2">
        <f>E59-F27-F28-F30/2</f>
        <v>919</v>
      </c>
      <c r="G60" s="2">
        <v>2</v>
      </c>
      <c r="H60" s="2">
        <f>F28+F30/2</f>
        <v>145</v>
      </c>
    </row>
    <row r="61" spans="1:8" ht="12">
      <c r="A61" s="2" t="s">
        <v>580</v>
      </c>
      <c r="B61" s="2">
        <f>ROUND($B$59*E61/$E$59,0)</f>
        <v>791</v>
      </c>
      <c r="D61" s="10" t="s">
        <v>581</v>
      </c>
      <c r="E61" s="2">
        <f>E60-F29-F30/2</f>
        <v>829</v>
      </c>
      <c r="G61" s="2">
        <v>3</v>
      </c>
      <c r="H61" s="2">
        <f>F30/2+F29</f>
        <v>90</v>
      </c>
    </row>
    <row r="62" spans="1:8" ht="12">
      <c r="A62" s="2" t="s">
        <v>582</v>
      </c>
      <c r="B62" s="2">
        <f>ROUND($B$59*E62/$E$59,0)</f>
        <v>683</v>
      </c>
      <c r="D62" s="10" t="s">
        <v>583</v>
      </c>
      <c r="E62" s="2">
        <f>E61-F42-F29-F33/2</f>
        <v>716</v>
      </c>
      <c r="G62" s="2">
        <v>4</v>
      </c>
      <c r="H62" s="2">
        <f>F44+F29+F33/2</f>
        <v>113</v>
      </c>
    </row>
    <row r="63" spans="1:8" ht="12">
      <c r="A63" s="2" t="s">
        <v>584</v>
      </c>
      <c r="B63" s="2">
        <f>ROUND($B$59*E63/$E$59,0)</f>
        <v>554</v>
      </c>
      <c r="D63" s="10" t="s">
        <v>585</v>
      </c>
      <c r="E63" s="2">
        <f>E62-F33</f>
        <v>580</v>
      </c>
      <c r="G63" s="2">
        <v>5</v>
      </c>
      <c r="H63" s="2">
        <f>F33</f>
        <v>136</v>
      </c>
    </row>
    <row r="66" ht="12">
      <c r="A66" s="12" t="s">
        <v>586</v>
      </c>
    </row>
    <row r="67" ht="12">
      <c r="A67" s="2" t="s">
        <v>587</v>
      </c>
    </row>
    <row r="68" spans="1:5" ht="12">
      <c r="A68" s="2" t="s">
        <v>588</v>
      </c>
      <c r="B68" s="2">
        <f>2*4800</f>
        <v>9600</v>
      </c>
      <c r="C68" s="2" t="s">
        <v>589</v>
      </c>
      <c r="E68" s="64">
        <v>1</v>
      </c>
    </row>
    <row r="69" spans="1:4" ht="12">
      <c r="A69" s="2" t="s">
        <v>590</v>
      </c>
      <c r="C69" s="64">
        <v>4</v>
      </c>
      <c r="D69" s="2" t="s">
        <v>1536</v>
      </c>
    </row>
    <row r="70" spans="1:8" ht="12">
      <c r="A70" s="2" t="s">
        <v>591</v>
      </c>
      <c r="C70" s="2">
        <f>ROUND((B59+B60)*H60/10*0.5*$E$68/C69,0)</f>
        <v>3493</v>
      </c>
      <c r="D70" s="2" t="s">
        <v>589</v>
      </c>
      <c r="E70" s="5" t="str">
        <f>IF(C70&lt;F70,"&lt;","&gt;")</f>
        <v>&lt;</v>
      </c>
      <c r="F70" s="2">
        <f>B68</f>
        <v>9600</v>
      </c>
      <c r="G70" s="2" t="s">
        <v>589</v>
      </c>
      <c r="H70" s="9" t="str">
        <f>IF(C70&lt;F70,"OK","NG")</f>
        <v>OK</v>
      </c>
    </row>
    <row r="72" spans="1:4" ht="12">
      <c r="A72" s="2" t="s">
        <v>592</v>
      </c>
      <c r="C72" s="64">
        <v>4</v>
      </c>
      <c r="D72" s="2" t="s">
        <v>1536</v>
      </c>
    </row>
    <row r="73" spans="1:8" ht="12">
      <c r="A73" s="2" t="s">
        <v>593</v>
      </c>
      <c r="C73" s="2">
        <f>ROUND((B60+B61)*H61/10*0.5*$E$68/C72,0)</f>
        <v>1877</v>
      </c>
      <c r="D73" s="2" t="s">
        <v>589</v>
      </c>
      <c r="E73" s="5" t="str">
        <f>IF(C73&lt;F73,"&lt;","&gt;")</f>
        <v>&lt;</v>
      </c>
      <c r="F73" s="2">
        <f>F70</f>
        <v>9600</v>
      </c>
      <c r="G73" s="2" t="s">
        <v>589</v>
      </c>
      <c r="H73" s="9" t="str">
        <f>IF(C73&lt;F73,"OK","NG")</f>
        <v>OK</v>
      </c>
    </row>
    <row r="75" spans="1:13" ht="12">
      <c r="A75" s="8" t="s">
        <v>594</v>
      </c>
      <c r="C75" s="64">
        <v>2</v>
      </c>
      <c r="D75" s="2" t="s">
        <v>1536</v>
      </c>
      <c r="J75" s="8" t="s">
        <v>389</v>
      </c>
      <c r="L75" s="64">
        <v>2</v>
      </c>
      <c r="M75" s="2" t="s">
        <v>1536</v>
      </c>
    </row>
    <row r="76" spans="1:17" ht="12">
      <c r="A76" s="2" t="s">
        <v>595</v>
      </c>
      <c r="C76" s="2">
        <f>ROUND((B61+B62)*H62/10*0.5*$E$68/C75,0)</f>
        <v>4164</v>
      </c>
      <c r="D76" s="2" t="s">
        <v>589</v>
      </c>
      <c r="E76" s="5" t="str">
        <f>IF(C76&lt;F76,"&lt;","&gt;")</f>
        <v>&lt;</v>
      </c>
      <c r="F76" s="2">
        <f>F73</f>
        <v>9600</v>
      </c>
      <c r="G76" s="2" t="s">
        <v>589</v>
      </c>
      <c r="H76" s="9" t="str">
        <f>IF(C76&lt;F76,"OK","NG")</f>
        <v>OK</v>
      </c>
      <c r="J76" s="2" t="s">
        <v>390</v>
      </c>
      <c r="L76" s="2">
        <f>ROUND((B62+B63)*H63/10*0.5*$E$68/L75,0)</f>
        <v>4206</v>
      </c>
      <c r="M76" s="2" t="s">
        <v>589</v>
      </c>
      <c r="N76" s="5" t="str">
        <f>IF(L76&lt;O76,"&lt;","&gt;")</f>
        <v>&lt;</v>
      </c>
      <c r="O76" s="2">
        <f>B68</f>
        <v>9600</v>
      </c>
      <c r="P76" s="2" t="s">
        <v>589</v>
      </c>
      <c r="Q76" s="9" t="str">
        <f>IF(L76&lt;O76,"OK","NG")</f>
        <v>OK</v>
      </c>
    </row>
    <row r="78" ht="12">
      <c r="A78" s="2" t="s">
        <v>596</v>
      </c>
    </row>
    <row r="79" ht="12">
      <c r="A79" s="2" t="s">
        <v>597</v>
      </c>
    </row>
    <row r="80" spans="1:4" ht="12">
      <c r="A80" s="2" t="s">
        <v>1460</v>
      </c>
      <c r="B80" s="6">
        <f>F10</f>
        <v>37.508</v>
      </c>
      <c r="D80" s="2">
        <f>B80*10^3</f>
        <v>37508</v>
      </c>
    </row>
    <row r="81" spans="1:2" ht="12">
      <c r="A81" s="2" t="s">
        <v>1274</v>
      </c>
      <c r="B81" s="2">
        <f>(C34+1)*B56</f>
        <v>52</v>
      </c>
    </row>
    <row r="82" spans="1:7" ht="12">
      <c r="A82" s="2" t="s">
        <v>598</v>
      </c>
      <c r="B82" s="2">
        <f>ROUND(B80*10^3/B81,0)</f>
        <v>721</v>
      </c>
      <c r="C82" s="2" t="s">
        <v>589</v>
      </c>
      <c r="D82" s="5" t="str">
        <f>IF(B82&lt;E82,"&lt;","&gt;")</f>
        <v>&lt;</v>
      </c>
      <c r="E82" s="2">
        <f>F73</f>
        <v>9600</v>
      </c>
      <c r="F82" s="2" t="s">
        <v>589</v>
      </c>
      <c r="G82" s="9" t="str">
        <f>IF(B82&lt;E82,"OK","NG")</f>
        <v>OK</v>
      </c>
    </row>
    <row r="83" ht="12">
      <c r="A83" s="2" t="s">
        <v>599</v>
      </c>
    </row>
    <row r="84" ht="12">
      <c r="A84" s="2" t="s">
        <v>600</v>
      </c>
    </row>
    <row r="85" spans="1:6" ht="12">
      <c r="A85" s="2">
        <f>ROUND(SQRT(C70^2+B82^2),0)</f>
        <v>3567</v>
      </c>
      <c r="B85" s="2" t="s">
        <v>589</v>
      </c>
      <c r="C85" s="5" t="str">
        <f>IF(A85&lt;D85,"&lt;","&gt;")</f>
        <v>&lt;</v>
      </c>
      <c r="D85" s="2">
        <f>F73</f>
        <v>9600</v>
      </c>
      <c r="E85" s="2" t="s">
        <v>589</v>
      </c>
      <c r="F85" s="9" t="str">
        <f>IF(A85&lt;D85,"OK","NG")</f>
        <v>OK</v>
      </c>
    </row>
    <row r="87" ht="12">
      <c r="A87" s="2" t="s">
        <v>605</v>
      </c>
    </row>
    <row r="88" ht="12">
      <c r="A88" s="2" t="s">
        <v>606</v>
      </c>
    </row>
    <row r="89" spans="1:3" ht="12">
      <c r="A89" s="2" t="s">
        <v>607</v>
      </c>
      <c r="B89" s="2">
        <f>'主桁'!J314</f>
        <v>887333</v>
      </c>
      <c r="C89" s="2" t="s">
        <v>1495</v>
      </c>
    </row>
    <row r="90" ht="12">
      <c r="A90" s="2" t="s">
        <v>618</v>
      </c>
    </row>
    <row r="91" spans="1:3" ht="12">
      <c r="A91" s="2" t="s">
        <v>619</v>
      </c>
      <c r="B91" s="2">
        <f>'主桁'!C328*B89/'主桁'!J316</f>
        <v>10935554.65295028</v>
      </c>
      <c r="C91" s="2" t="s">
        <v>1440</v>
      </c>
    </row>
    <row r="92" spans="2:3" ht="12">
      <c r="B92" s="2">
        <f>ROUND(B91/1000000,3)</f>
        <v>10.936</v>
      </c>
      <c r="C92" s="2" t="s">
        <v>1319</v>
      </c>
    </row>
    <row r="93" ht="12">
      <c r="A93" s="2" t="s">
        <v>620</v>
      </c>
    </row>
    <row r="94" spans="1:13" ht="12">
      <c r="A94" s="8">
        <v>4</v>
      </c>
      <c r="B94" s="10">
        <f>F41</f>
        <v>180</v>
      </c>
      <c r="C94" s="5" t="s">
        <v>1266</v>
      </c>
      <c r="D94" s="64">
        <v>10</v>
      </c>
      <c r="E94" s="5" t="s">
        <v>1266</v>
      </c>
      <c r="F94" s="10">
        <f>F55</f>
        <v>615</v>
      </c>
      <c r="H94" s="2">
        <f>F94/2</f>
        <v>307.5</v>
      </c>
      <c r="K94" s="2">
        <f>B94/10</f>
        <v>18</v>
      </c>
      <c r="L94" s="2">
        <f>D94/10</f>
        <v>1</v>
      </c>
      <c r="M94" s="2">
        <f>F94/10</f>
        <v>61.5</v>
      </c>
    </row>
    <row r="95" spans="1:13" ht="12">
      <c r="A95" s="8">
        <v>2</v>
      </c>
      <c r="B95" s="10">
        <f>F43</f>
        <v>1720</v>
      </c>
      <c r="C95" s="5" t="s">
        <v>1266</v>
      </c>
      <c r="D95" s="64">
        <v>10</v>
      </c>
      <c r="E95" s="5" t="s">
        <v>1266</v>
      </c>
      <c r="F95" s="10">
        <f>F56</f>
        <v>315</v>
      </c>
      <c r="H95" s="2">
        <f>F95/2</f>
        <v>157.5</v>
      </c>
      <c r="K95" s="2">
        <f>B95/10</f>
        <v>172</v>
      </c>
      <c r="L95" s="2">
        <f>D95/10</f>
        <v>1</v>
      </c>
      <c r="M95" s="2">
        <f>F95/10</f>
        <v>31.5</v>
      </c>
    </row>
    <row r="97" ht="12">
      <c r="A97" s="2" t="s">
        <v>708</v>
      </c>
    </row>
    <row r="98" spans="1:5" ht="12">
      <c r="A98" s="2" t="s">
        <v>709</v>
      </c>
      <c r="D98" s="2">
        <f>B94/10*D94/10</f>
        <v>18</v>
      </c>
      <c r="E98" s="2" t="s">
        <v>1273</v>
      </c>
    </row>
    <row r="99" spans="1:5" ht="12">
      <c r="A99" s="2" t="s">
        <v>710</v>
      </c>
      <c r="D99" s="2">
        <f>B95/10*D95/10</f>
        <v>172</v>
      </c>
      <c r="E99" s="2" t="s">
        <v>1273</v>
      </c>
    </row>
    <row r="100" spans="1:14" ht="12">
      <c r="A100" s="2" t="s">
        <v>711</v>
      </c>
      <c r="B100" s="13">
        <f>ROUND(D94/10*D98^3/12,0)</f>
        <v>486</v>
      </c>
      <c r="C100" s="2" t="s">
        <v>1495</v>
      </c>
      <c r="E100" s="5"/>
      <c r="G100" s="5"/>
      <c r="K100" s="2">
        <f>D41+D42+D43/2</f>
        <v>104.5</v>
      </c>
      <c r="L100" s="2" t="s">
        <v>391</v>
      </c>
      <c r="M100" s="2">
        <f>K100*10</f>
        <v>1045</v>
      </c>
      <c r="N100" s="2" t="s">
        <v>1264</v>
      </c>
    </row>
    <row r="101" spans="1:14" ht="12">
      <c r="A101" s="2" t="s">
        <v>712</v>
      </c>
      <c r="B101" s="13">
        <f>ROUND(D95/10*D99^3/12,0)</f>
        <v>424037</v>
      </c>
      <c r="C101" s="2" t="s">
        <v>1495</v>
      </c>
      <c r="E101" s="5"/>
      <c r="G101" s="5"/>
      <c r="K101" s="2">
        <f>D41/2+D42+D43/2</f>
        <v>95.5</v>
      </c>
      <c r="L101" s="2" t="s">
        <v>904</v>
      </c>
      <c r="M101" s="2">
        <f>K101*10</f>
        <v>955</v>
      </c>
      <c r="N101" s="2" t="s">
        <v>939</v>
      </c>
    </row>
    <row r="102" spans="1:3" ht="12">
      <c r="A102" s="2" t="s">
        <v>713</v>
      </c>
      <c r="B102" s="5">
        <f>E60/10</f>
        <v>91.9</v>
      </c>
      <c r="C102" s="2" t="s">
        <v>718</v>
      </c>
    </row>
    <row r="103" spans="2:3" ht="12">
      <c r="B103" s="5">
        <f>ROUND(A94*B100+A95*B101+A94*D98*B102^2,0)</f>
        <v>1458102</v>
      </c>
      <c r="C103" s="2" t="s">
        <v>1459</v>
      </c>
    </row>
    <row r="104" ht="12">
      <c r="A104" s="2" t="s">
        <v>714</v>
      </c>
    </row>
    <row r="105" spans="1:7" ht="12">
      <c r="A105" s="2" t="s">
        <v>715</v>
      </c>
      <c r="B105" s="2">
        <f>ROUND(B91*B106/B103,0)</f>
        <v>784</v>
      </c>
      <c r="C105" s="2" t="s">
        <v>1425</v>
      </c>
      <c r="D105" s="5" t="str">
        <f>IF(B105&lt;E105,"&lt;","&gt;")</f>
        <v>&lt;</v>
      </c>
      <c r="E105" s="12">
        <f>'主桁'!E303</f>
        <v>1400</v>
      </c>
      <c r="F105" s="2" t="s">
        <v>1425</v>
      </c>
      <c r="G105" s="9" t="str">
        <f>IF(B105&lt;E105,"OK","NG")</f>
        <v>OK</v>
      </c>
    </row>
    <row r="106" spans="1:3" ht="12">
      <c r="A106" s="2" t="s">
        <v>719</v>
      </c>
      <c r="B106" s="2">
        <f>D41+D42+D43/2</f>
        <v>104.5</v>
      </c>
      <c r="C106" s="2" t="s">
        <v>1261</v>
      </c>
    </row>
    <row r="107" ht="12">
      <c r="A107" s="2" t="s">
        <v>720</v>
      </c>
    </row>
    <row r="108" ht="12">
      <c r="A108" s="2" t="s">
        <v>721</v>
      </c>
    </row>
    <row r="109" spans="1:7" ht="12">
      <c r="A109" s="2" t="s">
        <v>728</v>
      </c>
      <c r="C109" s="7">
        <f>H7</f>
        <v>426.887</v>
      </c>
      <c r="D109" s="2" t="s">
        <v>1319</v>
      </c>
      <c r="F109" s="2">
        <f>C109*10^5</f>
        <v>42688700</v>
      </c>
      <c r="G109" s="2" t="s">
        <v>1425</v>
      </c>
    </row>
    <row r="110" ht="12">
      <c r="A110" s="2" t="s">
        <v>722</v>
      </c>
    </row>
    <row r="111" spans="1:5" ht="13.5">
      <c r="A111" s="2" t="s">
        <v>723</v>
      </c>
      <c r="C111" s="2">
        <f>'主桁'!B313</f>
        <v>510</v>
      </c>
      <c r="D111" s="1" t="s">
        <v>1276</v>
      </c>
      <c r="E111" s="2">
        <f>'主桁'!D313</f>
        <v>36</v>
      </c>
    </row>
    <row r="112" spans="1:4" ht="12">
      <c r="A112" s="2" t="s">
        <v>726</v>
      </c>
      <c r="C112" s="2">
        <f>'主桁'!B322</f>
        <v>48214</v>
      </c>
      <c r="D112" s="2" t="s">
        <v>1428</v>
      </c>
    </row>
    <row r="113" spans="1:6" ht="12">
      <c r="A113" s="2" t="s">
        <v>727</v>
      </c>
      <c r="C113" s="2">
        <f>'主桁'!F313</f>
        <v>183.6</v>
      </c>
      <c r="D113" s="2" t="s">
        <v>1273</v>
      </c>
      <c r="F113" s="5" t="s">
        <v>732</v>
      </c>
    </row>
    <row r="114" spans="1:8" ht="12">
      <c r="A114" s="2" t="s">
        <v>724</v>
      </c>
      <c r="C114" s="2">
        <f>ROUND(C109*10^5/C112,0)</f>
        <v>885</v>
      </c>
      <c r="D114" s="2" t="s">
        <v>1425</v>
      </c>
      <c r="E114" s="5" t="str">
        <f>IF(C114&lt;F114,"&lt;","&gt;")</f>
        <v>&lt;</v>
      </c>
      <c r="F114" s="12">
        <f>'主桁'!E303*0.75</f>
        <v>1050</v>
      </c>
      <c r="G114" s="2" t="s">
        <v>1425</v>
      </c>
      <c r="H114" s="58" t="str">
        <f>IF(C114&gt;F114,"OK","NG")</f>
        <v>NG</v>
      </c>
    </row>
    <row r="115" spans="1:8" ht="12">
      <c r="A115" s="2" t="s">
        <v>729</v>
      </c>
      <c r="C115" s="2">
        <f>IF(C114&lt;F114,F114,C114)</f>
        <v>1050</v>
      </c>
      <c r="E115" s="5"/>
      <c r="F115" s="10"/>
      <c r="H115" s="10"/>
    </row>
    <row r="116" spans="1:3" ht="12">
      <c r="A116" s="2" t="s">
        <v>725</v>
      </c>
      <c r="C116" s="2">
        <f>ROUND(C113*C115/B68,1)</f>
        <v>20.1</v>
      </c>
    </row>
    <row r="117" spans="1:4" ht="12">
      <c r="A117" s="2" t="s">
        <v>730</v>
      </c>
      <c r="B117" s="64">
        <v>20</v>
      </c>
      <c r="C117" s="2" t="s">
        <v>731</v>
      </c>
      <c r="D117" s="9" t="str">
        <f>IF(C116&lt;B117,"OK","NG")</f>
        <v>NG</v>
      </c>
    </row>
    <row r="118" s="10" customFormat="1" ht="12">
      <c r="A118" s="10" t="s">
        <v>741</v>
      </c>
    </row>
    <row r="119" spans="1:7" ht="12">
      <c r="A119" s="10" t="s">
        <v>733</v>
      </c>
      <c r="B119" s="10">
        <f>C111</f>
        <v>510</v>
      </c>
      <c r="C119" s="10" t="s">
        <v>1450</v>
      </c>
      <c r="D119" s="10"/>
      <c r="E119" s="10"/>
      <c r="F119" s="10"/>
      <c r="G119" s="10"/>
    </row>
    <row r="120" spans="1:3" ht="12">
      <c r="A120" s="2" t="s">
        <v>1301</v>
      </c>
      <c r="B120" s="8">
        <v>40</v>
      </c>
      <c r="C120" s="2" t="s">
        <v>1450</v>
      </c>
    </row>
    <row r="121" spans="1:3" ht="12">
      <c r="A121" s="2" t="s">
        <v>1302</v>
      </c>
      <c r="B121" s="64">
        <v>130</v>
      </c>
      <c r="C121" s="2" t="s">
        <v>1450</v>
      </c>
    </row>
    <row r="122" spans="1:7" ht="12">
      <c r="A122" s="2" t="s">
        <v>1303</v>
      </c>
      <c r="B122" s="2">
        <f>B119-B120*2-B121*2</f>
        <v>170</v>
      </c>
      <c r="C122" s="2" t="s">
        <v>1450</v>
      </c>
      <c r="D122" s="5" t="str">
        <f>IF(B122&gt;E122,"&gt;","&lt;")</f>
        <v>&gt;</v>
      </c>
      <c r="E122" s="8">
        <v>130</v>
      </c>
      <c r="F122" s="2" t="s">
        <v>1450</v>
      </c>
      <c r="G122" s="9" t="str">
        <f>IF(B122&gt;E122,"OK","NG")</f>
        <v>OK</v>
      </c>
    </row>
    <row r="123" ht="12">
      <c r="A123" s="2" t="s">
        <v>734</v>
      </c>
    </row>
    <row r="124" spans="1:3" ht="12">
      <c r="A124" s="2" t="s">
        <v>735</v>
      </c>
      <c r="B124" s="8">
        <v>40</v>
      </c>
      <c r="C124" s="2" t="s">
        <v>1450</v>
      </c>
    </row>
    <row r="125" spans="1:3" ht="12">
      <c r="A125" s="2" t="s">
        <v>736</v>
      </c>
      <c r="B125" s="64">
        <v>75</v>
      </c>
      <c r="C125" s="2" t="s">
        <v>1450</v>
      </c>
    </row>
    <row r="126" spans="1:3" ht="12">
      <c r="A126" s="2" t="s">
        <v>739</v>
      </c>
      <c r="B126" s="64">
        <v>4</v>
      </c>
      <c r="C126" s="2" t="s">
        <v>1450</v>
      </c>
    </row>
    <row r="127" spans="1:3" ht="12">
      <c r="A127" s="2" t="s">
        <v>737</v>
      </c>
      <c r="B127" s="2">
        <f>B125*B126</f>
        <v>300</v>
      </c>
      <c r="C127" s="2" t="s">
        <v>1450</v>
      </c>
    </row>
    <row r="128" spans="1:3" ht="12">
      <c r="A128" s="2" t="s">
        <v>738</v>
      </c>
      <c r="B128" s="8">
        <v>85</v>
      </c>
      <c r="C128" s="2" t="s">
        <v>1450</v>
      </c>
    </row>
    <row r="129" spans="1:6" ht="12">
      <c r="A129" s="2" t="s">
        <v>740</v>
      </c>
      <c r="B129" s="2">
        <f>B124+B127+B128/2</f>
        <v>382.5</v>
      </c>
      <c r="C129" s="2" t="s">
        <v>1450</v>
      </c>
      <c r="D129" s="2" t="s">
        <v>751</v>
      </c>
      <c r="E129" s="2">
        <f>B129*2</f>
        <v>765</v>
      </c>
      <c r="F129" s="2" t="s">
        <v>1450</v>
      </c>
    </row>
    <row r="130" ht="12">
      <c r="A130" s="2" t="s">
        <v>742</v>
      </c>
    </row>
    <row r="131" spans="1:5" ht="12">
      <c r="A131" s="2" t="s">
        <v>743</v>
      </c>
      <c r="B131" s="2">
        <f>B120</f>
        <v>40</v>
      </c>
      <c r="D131" s="2" t="s">
        <v>735</v>
      </c>
      <c r="E131" s="2">
        <f>B131+B132+B133</f>
        <v>210</v>
      </c>
    </row>
    <row r="132" spans="1:5" ht="12">
      <c r="A132" s="2" t="s">
        <v>744</v>
      </c>
      <c r="B132" s="2">
        <f>B121</f>
        <v>130</v>
      </c>
      <c r="D132" s="2" t="s">
        <v>1320</v>
      </c>
      <c r="E132" s="12">
        <f>'主桁'!D314</f>
        <v>10</v>
      </c>
    </row>
    <row r="133" spans="1:2" ht="12">
      <c r="A133" s="2" t="s">
        <v>745</v>
      </c>
      <c r="B133" s="8">
        <v>40</v>
      </c>
    </row>
    <row r="134" spans="1:2" ht="12">
      <c r="A134" s="2" t="s">
        <v>746</v>
      </c>
      <c r="B134" s="10">
        <f>B122-B133*2</f>
        <v>90</v>
      </c>
    </row>
    <row r="135" ht="12">
      <c r="A135" s="2" t="s">
        <v>734</v>
      </c>
    </row>
    <row r="136" spans="1:2" ht="12">
      <c r="A136" s="2">
        <v>1</v>
      </c>
      <c r="B136" s="64">
        <v>16</v>
      </c>
    </row>
    <row r="137" spans="1:2" ht="12">
      <c r="A137" s="2">
        <v>2</v>
      </c>
      <c r="B137" s="2">
        <f>E111</f>
        <v>36</v>
      </c>
    </row>
    <row r="138" spans="1:2" ht="12">
      <c r="A138" s="2">
        <v>3</v>
      </c>
      <c r="B138" s="12">
        <f>B136</f>
        <v>16</v>
      </c>
    </row>
    <row r="139" ht="12">
      <c r="A139" s="2" t="s">
        <v>747</v>
      </c>
    </row>
    <row r="140" spans="1:8" ht="12">
      <c r="A140" s="8">
        <v>1</v>
      </c>
      <c r="B140" s="5" t="s">
        <v>1276</v>
      </c>
      <c r="C140" s="2">
        <f>B119/10</f>
        <v>51</v>
      </c>
      <c r="D140" s="5" t="s">
        <v>1276</v>
      </c>
      <c r="E140" s="2">
        <f>B136/10</f>
        <v>1.6</v>
      </c>
      <c r="F140" s="5" t="s">
        <v>1276</v>
      </c>
      <c r="G140" s="2">
        <f>E129/10</f>
        <v>76.5</v>
      </c>
      <c r="H140" s="2" t="s">
        <v>1261</v>
      </c>
    </row>
    <row r="141" spans="1:8" ht="12">
      <c r="A141" s="8">
        <v>2</v>
      </c>
      <c r="B141" s="5" t="s">
        <v>1276</v>
      </c>
      <c r="C141" s="2">
        <f>E131/10</f>
        <v>21</v>
      </c>
      <c r="D141" s="5" t="s">
        <v>1276</v>
      </c>
      <c r="E141" s="2">
        <f>B138/10</f>
        <v>1.6</v>
      </c>
      <c r="F141" s="5" t="s">
        <v>1276</v>
      </c>
      <c r="G141" s="2">
        <f>E129/10</f>
        <v>76.5</v>
      </c>
      <c r="H141" s="2" t="s">
        <v>1261</v>
      </c>
    </row>
    <row r="142" spans="1:2" ht="12">
      <c r="A142" s="2" t="s">
        <v>748</v>
      </c>
      <c r="B142" s="2">
        <f>C140*E140</f>
        <v>81.60000000000001</v>
      </c>
    </row>
    <row r="143" spans="1:2" ht="12">
      <c r="A143" s="2" t="s">
        <v>1306</v>
      </c>
      <c r="B143" s="2">
        <f>C141*E141</f>
        <v>33.6</v>
      </c>
    </row>
    <row r="144" spans="1:2" ht="12">
      <c r="A144" s="2" t="s">
        <v>749</v>
      </c>
      <c r="B144" s="2">
        <f>B142+B143*2</f>
        <v>148.8</v>
      </c>
    </row>
    <row r="145" spans="1:6" ht="12">
      <c r="A145" s="2" t="s">
        <v>750</v>
      </c>
      <c r="B145" s="2">
        <f>ROUND(C115*C113/B144,0)</f>
        <v>1296</v>
      </c>
      <c r="C145" s="5" t="str">
        <f>IF(B145&lt;D145,"&lt;","&gt;")</f>
        <v>&lt;</v>
      </c>
      <c r="D145" s="10">
        <f>E105</f>
        <v>1400</v>
      </c>
      <c r="E145" s="2" t="s">
        <v>1425</v>
      </c>
      <c r="F145" s="9" t="str">
        <f>IF(B145&lt;D145,"OK","NG")</f>
        <v>OK</v>
      </c>
    </row>
    <row r="146" ht="12">
      <c r="A146" s="2" t="s">
        <v>1426</v>
      </c>
    </row>
    <row r="147" spans="1:4" ht="12">
      <c r="A147" s="2" t="s">
        <v>728</v>
      </c>
      <c r="C147" s="7">
        <f>C109</f>
        <v>426.887</v>
      </c>
      <c r="D147" s="2" t="s">
        <v>1319</v>
      </c>
    </row>
    <row r="148" ht="12">
      <c r="A148" s="2" t="s">
        <v>752</v>
      </c>
    </row>
    <row r="149" spans="1:5" ht="13.5">
      <c r="A149" s="2" t="s">
        <v>753</v>
      </c>
      <c r="C149" s="2">
        <f>C111</f>
        <v>510</v>
      </c>
      <c r="D149" s="1" t="s">
        <v>1276</v>
      </c>
      <c r="E149" s="2">
        <f>E111</f>
        <v>36</v>
      </c>
    </row>
    <row r="150" spans="1:4" ht="12">
      <c r="A150" s="2" t="s">
        <v>726</v>
      </c>
      <c r="C150" s="2">
        <f>C112</f>
        <v>48214</v>
      </c>
      <c r="D150" s="2" t="s">
        <v>1428</v>
      </c>
    </row>
    <row r="151" spans="1:6" ht="12">
      <c r="A151" s="2" t="s">
        <v>754</v>
      </c>
      <c r="C151" s="2">
        <f>C113</f>
        <v>183.6</v>
      </c>
      <c r="D151" s="2" t="s">
        <v>1273</v>
      </c>
      <c r="F151" s="5" t="s">
        <v>732</v>
      </c>
    </row>
    <row r="152" spans="1:7" ht="12">
      <c r="A152" s="2" t="s">
        <v>724</v>
      </c>
      <c r="C152" s="2">
        <f>ROUND(C147*10^5/C150,0)</f>
        <v>885</v>
      </c>
      <c r="D152" s="2" t="s">
        <v>1425</v>
      </c>
      <c r="E152" s="5" t="str">
        <f>IF(C152&lt;F152,"&lt;","&gt;")</f>
        <v>&lt;</v>
      </c>
      <c r="F152" s="8">
        <f>1400*0.75</f>
        <v>1050</v>
      </c>
      <c r="G152" s="2" t="s">
        <v>1425</v>
      </c>
    </row>
    <row r="153" spans="1:6" ht="12">
      <c r="A153" s="2" t="s">
        <v>729</v>
      </c>
      <c r="C153" s="2">
        <f>IF(C152&lt;F152,F152,C152)</f>
        <v>1050</v>
      </c>
      <c r="E153" s="5"/>
      <c r="F153" s="10"/>
    </row>
    <row r="154" spans="1:3" ht="12">
      <c r="A154" s="2" t="s">
        <v>725</v>
      </c>
      <c r="C154" s="2">
        <f>ROUND(C151*C153/B68,1)</f>
        <v>20.1</v>
      </c>
    </row>
    <row r="155" spans="1:4" ht="12">
      <c r="A155" s="2" t="s">
        <v>730</v>
      </c>
      <c r="B155" s="64">
        <v>20</v>
      </c>
      <c r="C155" s="2" t="s">
        <v>731</v>
      </c>
      <c r="D155" s="9" t="str">
        <f>IF(C154&lt;B155,"OK","NG")</f>
        <v>NG</v>
      </c>
    </row>
    <row r="156" ht="12">
      <c r="A156" s="2" t="s">
        <v>755</v>
      </c>
    </row>
    <row r="157" spans="1:7" ht="12">
      <c r="A157" s="2" t="s">
        <v>758</v>
      </c>
      <c r="B157" s="64">
        <v>2.2</v>
      </c>
      <c r="C157" s="5" t="s">
        <v>716</v>
      </c>
      <c r="D157" s="64">
        <v>0.3</v>
      </c>
      <c r="E157" s="2" t="s">
        <v>1261</v>
      </c>
      <c r="F157" s="2">
        <f>B157+D157</f>
        <v>2.5</v>
      </c>
      <c r="G157" s="2" t="s">
        <v>1261</v>
      </c>
    </row>
    <row r="158" spans="2:4" ht="12">
      <c r="B158" s="64">
        <f>C69</f>
        <v>4</v>
      </c>
      <c r="C158" s="5" t="s">
        <v>731</v>
      </c>
      <c r="D158" s="10"/>
    </row>
    <row r="159" spans="1:3" ht="12">
      <c r="A159" s="2" t="s">
        <v>756</v>
      </c>
      <c r="B159" s="2">
        <f>F157*B158</f>
        <v>10</v>
      </c>
      <c r="C159" s="2" t="s">
        <v>1263</v>
      </c>
    </row>
    <row r="160" spans="1:6" ht="12">
      <c r="A160" s="4" t="s">
        <v>757</v>
      </c>
      <c r="B160" s="5">
        <f>B159</f>
        <v>10</v>
      </c>
      <c r="C160" s="5" t="s">
        <v>759</v>
      </c>
      <c r="D160" s="2">
        <f>E149/10</f>
        <v>3.6</v>
      </c>
      <c r="E160" s="5" t="s">
        <v>988</v>
      </c>
      <c r="F160" s="2" t="s">
        <v>1268</v>
      </c>
    </row>
    <row r="161" spans="1:3" ht="12">
      <c r="A161" s="2" t="s">
        <v>760</v>
      </c>
      <c r="B161" s="2">
        <f>ROUND(C151-B160*D160-IF(B191&lt;D191,0,D191)-IF(B194&lt;D194,0,D194),3)</f>
        <v>147.6</v>
      </c>
      <c r="C161" s="2" t="s">
        <v>1273</v>
      </c>
    </row>
    <row r="162" ht="12">
      <c r="A162" s="2" t="s">
        <v>761</v>
      </c>
    </row>
    <row r="163" spans="1:6" ht="12">
      <c r="A163" s="2">
        <f>ROUND(C153*C151/B161,0)</f>
        <v>1306</v>
      </c>
      <c r="B163" s="2" t="s">
        <v>1425</v>
      </c>
      <c r="C163" s="5" t="str">
        <f>IF(A163&lt;D163,"&lt;","&gt;")</f>
        <v>&lt;</v>
      </c>
      <c r="D163" s="8">
        <f>E105</f>
        <v>1400</v>
      </c>
      <c r="E163" s="2" t="s">
        <v>1425</v>
      </c>
      <c r="F163" s="9" t="str">
        <f>IF(A163&lt;D163,"OK","NG")</f>
        <v>OK</v>
      </c>
    </row>
    <row r="164" spans="1:8" ht="12">
      <c r="A164" s="10" t="s">
        <v>741</v>
      </c>
      <c r="B164" s="10"/>
      <c r="C164" s="10"/>
      <c r="D164" s="10"/>
      <c r="E164" s="10"/>
      <c r="F164" s="10"/>
      <c r="G164" s="10"/>
      <c r="H164" s="10"/>
    </row>
    <row r="165" spans="1:7" ht="12">
      <c r="A165" s="10" t="s">
        <v>733</v>
      </c>
      <c r="B165" s="10">
        <f>B119</f>
        <v>510</v>
      </c>
      <c r="C165" s="10" t="s">
        <v>1450</v>
      </c>
      <c r="D165" s="10"/>
      <c r="E165" s="10"/>
      <c r="F165" s="10"/>
      <c r="G165" s="10"/>
    </row>
    <row r="166" spans="1:3" ht="12">
      <c r="A166" s="2" t="s">
        <v>1301</v>
      </c>
      <c r="B166" s="8">
        <v>40</v>
      </c>
      <c r="C166" s="2" t="s">
        <v>1450</v>
      </c>
    </row>
    <row r="167" spans="1:3" ht="12">
      <c r="A167" s="2" t="s">
        <v>1302</v>
      </c>
      <c r="B167" s="64">
        <v>75</v>
      </c>
      <c r="C167" s="2" t="s">
        <v>1450</v>
      </c>
    </row>
    <row r="168" spans="1:7" ht="12">
      <c r="A168" s="2" t="s">
        <v>1303</v>
      </c>
      <c r="B168" s="64">
        <v>75</v>
      </c>
      <c r="C168" s="2" t="s">
        <v>1450</v>
      </c>
      <c r="D168" s="5"/>
      <c r="E168" s="10"/>
      <c r="F168" s="10"/>
      <c r="G168" s="10"/>
    </row>
    <row r="169" spans="1:7" ht="12">
      <c r="A169" s="2" t="s">
        <v>1304</v>
      </c>
      <c r="B169" s="2">
        <f>B165-B166*2-B167*2-B168*2</f>
        <v>130</v>
      </c>
      <c r="C169" s="2" t="s">
        <v>1450</v>
      </c>
      <c r="D169" s="5" t="str">
        <f>IF(B169&gt;=E169,"≧","&lt;")</f>
        <v>≧</v>
      </c>
      <c r="E169" s="8">
        <v>130</v>
      </c>
      <c r="F169" s="2" t="s">
        <v>1450</v>
      </c>
      <c r="G169" s="9" t="str">
        <f>IF(B169&gt;=E169,"OK","NG")</f>
        <v>OK</v>
      </c>
    </row>
    <row r="170" ht="12">
      <c r="A170" s="2" t="s">
        <v>734</v>
      </c>
    </row>
    <row r="171" spans="1:3" ht="12">
      <c r="A171" s="2" t="s">
        <v>735</v>
      </c>
      <c r="B171" s="8">
        <v>40</v>
      </c>
      <c r="C171" s="2" t="s">
        <v>1450</v>
      </c>
    </row>
    <row r="172" spans="1:2" ht="12">
      <c r="A172" s="2" t="s">
        <v>736</v>
      </c>
      <c r="B172" s="8">
        <v>75</v>
      </c>
    </row>
    <row r="173" spans="1:3" ht="12">
      <c r="A173" s="2" t="s">
        <v>762</v>
      </c>
      <c r="B173" s="64">
        <v>75</v>
      </c>
      <c r="C173" s="2" t="s">
        <v>1450</v>
      </c>
    </row>
    <row r="174" spans="1:2" ht="12">
      <c r="A174" s="2" t="s">
        <v>739</v>
      </c>
      <c r="B174" s="64">
        <v>2</v>
      </c>
    </row>
    <row r="175" spans="1:3" ht="12">
      <c r="A175" s="2" t="s">
        <v>763</v>
      </c>
      <c r="B175" s="2">
        <f>B173*B174</f>
        <v>150</v>
      </c>
      <c r="C175" s="2" t="s">
        <v>1450</v>
      </c>
    </row>
    <row r="176" spans="1:3" ht="12">
      <c r="A176" s="2" t="s">
        <v>738</v>
      </c>
      <c r="B176" s="64">
        <v>85</v>
      </c>
      <c r="C176" s="2" t="s">
        <v>1450</v>
      </c>
    </row>
    <row r="177" spans="1:6" ht="12">
      <c r="A177" s="2" t="s">
        <v>740</v>
      </c>
      <c r="B177" s="2">
        <f>B171+B172+B175+B176/2</f>
        <v>307.5</v>
      </c>
      <c r="C177" s="2" t="s">
        <v>1450</v>
      </c>
      <c r="D177" s="2" t="s">
        <v>751</v>
      </c>
      <c r="E177" s="2">
        <f>B177*2</f>
        <v>615</v>
      </c>
      <c r="F177" s="2" t="s">
        <v>1450</v>
      </c>
    </row>
    <row r="178" ht="12">
      <c r="A178" s="2" t="s">
        <v>742</v>
      </c>
    </row>
    <row r="179" spans="1:5" ht="12">
      <c r="A179" s="2" t="s">
        <v>743</v>
      </c>
      <c r="B179" s="2">
        <f>B166</f>
        <v>40</v>
      </c>
      <c r="D179" s="2" t="s">
        <v>735</v>
      </c>
      <c r="E179" s="2">
        <f>B179+B180+B181</f>
        <v>230</v>
      </c>
    </row>
    <row r="180" spans="1:5" ht="12">
      <c r="A180" s="2" t="s">
        <v>744</v>
      </c>
      <c r="B180" s="2">
        <f>B167+B168</f>
        <v>150</v>
      </c>
      <c r="D180" s="2" t="s">
        <v>1320</v>
      </c>
      <c r="E180" s="12">
        <f>E132</f>
        <v>10</v>
      </c>
    </row>
    <row r="181" spans="1:2" ht="12">
      <c r="A181" s="2" t="s">
        <v>745</v>
      </c>
      <c r="B181" s="8">
        <v>40</v>
      </c>
    </row>
    <row r="182" spans="1:2" ht="12">
      <c r="A182" s="2" t="s">
        <v>746</v>
      </c>
      <c r="B182" s="10">
        <f>B169-B181*2</f>
        <v>50</v>
      </c>
    </row>
    <row r="183" ht="12">
      <c r="A183" s="2" t="s">
        <v>734</v>
      </c>
    </row>
    <row r="184" spans="1:2" ht="12">
      <c r="A184" s="2">
        <v>1</v>
      </c>
      <c r="B184" s="64">
        <v>22</v>
      </c>
    </row>
    <row r="185" spans="1:2" ht="12">
      <c r="A185" s="2">
        <v>2</v>
      </c>
      <c r="B185" s="2">
        <f>E149</f>
        <v>36</v>
      </c>
    </row>
    <row r="186" spans="1:2" ht="12">
      <c r="A186" s="2">
        <v>3</v>
      </c>
      <c r="B186" s="12">
        <f>B184</f>
        <v>22</v>
      </c>
    </row>
    <row r="187" spans="1:7" s="10" customFormat="1" ht="12">
      <c r="A187" s="10" t="s">
        <v>1317</v>
      </c>
      <c r="E187" s="10" t="s">
        <v>1340</v>
      </c>
      <c r="F187" s="10">
        <f>(B189+B192)/(B190+B193)</f>
        <v>0.5</v>
      </c>
      <c r="G187" s="10">
        <f>B171+B172+B173-40</f>
        <v>150</v>
      </c>
    </row>
    <row r="188" spans="1:8" ht="12">
      <c r="A188" s="2" t="s">
        <v>978</v>
      </c>
      <c r="B188" s="10">
        <f>F157</f>
        <v>2.5</v>
      </c>
      <c r="E188" s="2" t="s">
        <v>1339</v>
      </c>
      <c r="F188" s="2">
        <f>ATAN(F187)</f>
        <v>0.4636476090008061</v>
      </c>
      <c r="G188" s="2">
        <f>G187*F187</f>
        <v>75</v>
      </c>
      <c r="H188" s="2">
        <f>B166+B167+B168-40</f>
        <v>150</v>
      </c>
    </row>
    <row r="189" spans="1:2" ht="12">
      <c r="A189" s="2" t="s">
        <v>1313</v>
      </c>
      <c r="B189" s="10">
        <f>B167/10/2</f>
        <v>3.75</v>
      </c>
    </row>
    <row r="190" spans="1:2" ht="12">
      <c r="A190" s="2" t="s">
        <v>1314</v>
      </c>
      <c r="B190" s="10">
        <f>B172/10</f>
        <v>7.5</v>
      </c>
    </row>
    <row r="191" spans="2:5" ht="12">
      <c r="B191" s="10">
        <f>ROUND(B188-B190^2/4/B189,3)</f>
        <v>-1.25</v>
      </c>
      <c r="C191" s="5" t="str">
        <f>IF(B191&lt;D191,"&lt;","&gt;")</f>
        <v>&lt;</v>
      </c>
      <c r="D191" s="2">
        <f>ABS(B191)</f>
        <v>1.25</v>
      </c>
      <c r="E191" s="9" t="str">
        <f>IF(B191&lt;D191,"OK","NG")</f>
        <v>OK</v>
      </c>
    </row>
    <row r="192" spans="1:3" s="10" customFormat="1" ht="12">
      <c r="A192" s="10" t="s">
        <v>1315</v>
      </c>
      <c r="B192" s="10">
        <f>B173/10/2</f>
        <v>3.75</v>
      </c>
      <c r="C192" s="11"/>
    </row>
    <row r="193" spans="1:3" s="10" customFormat="1" ht="12">
      <c r="A193" s="10" t="s">
        <v>1316</v>
      </c>
      <c r="B193" s="10">
        <f>B190</f>
        <v>7.5</v>
      </c>
      <c r="C193" s="11"/>
    </row>
    <row r="194" spans="2:5" s="10" customFormat="1" ht="12">
      <c r="B194" s="10">
        <f>ROUND(B188-B190^2/4/B192,3)</f>
        <v>-1.25</v>
      </c>
      <c r="C194" s="5" t="str">
        <f>IF(B194&lt;D194,"&lt;","&gt;")</f>
        <v>&lt;</v>
      </c>
      <c r="D194" s="2">
        <f>ABS(B194)</f>
        <v>1.25</v>
      </c>
      <c r="E194" s="9" t="str">
        <f>IF(B194&lt;D194,"OK","NG")</f>
        <v>OK</v>
      </c>
    </row>
    <row r="195" s="10" customFormat="1" ht="12">
      <c r="C195" s="11"/>
    </row>
    <row r="196" ht="12">
      <c r="A196" s="2" t="s">
        <v>747</v>
      </c>
    </row>
    <row r="197" spans="1:8" ht="12">
      <c r="A197" s="8">
        <v>1</v>
      </c>
      <c r="B197" s="5" t="s">
        <v>1276</v>
      </c>
      <c r="C197" s="2">
        <f>B165/10</f>
        <v>51</v>
      </c>
      <c r="D197" s="5" t="s">
        <v>1276</v>
      </c>
      <c r="E197" s="2">
        <f>B184/10</f>
        <v>2.2</v>
      </c>
      <c r="F197" s="5" t="s">
        <v>1276</v>
      </c>
      <c r="G197" s="2">
        <f>E177/10</f>
        <v>61.5</v>
      </c>
      <c r="H197" s="2" t="s">
        <v>1261</v>
      </c>
    </row>
    <row r="198" spans="1:8" ht="12">
      <c r="A198" s="8">
        <v>2</v>
      </c>
      <c r="B198" s="5" t="s">
        <v>1276</v>
      </c>
      <c r="C198" s="2">
        <f>E179/10</f>
        <v>23</v>
      </c>
      <c r="D198" s="5" t="s">
        <v>1276</v>
      </c>
      <c r="E198" s="2">
        <f>B186/10</f>
        <v>2.2</v>
      </c>
      <c r="F198" s="5" t="s">
        <v>1276</v>
      </c>
      <c r="G198" s="2">
        <f>E177/10</f>
        <v>61.5</v>
      </c>
      <c r="H198" s="2" t="s">
        <v>1261</v>
      </c>
    </row>
    <row r="199" spans="1:2" ht="12">
      <c r="A199" s="2" t="s">
        <v>748</v>
      </c>
      <c r="B199" s="2">
        <f>C197*E197-B160*B184/10</f>
        <v>90.2</v>
      </c>
    </row>
    <row r="200" spans="1:2" ht="12">
      <c r="A200" s="2" t="s">
        <v>1306</v>
      </c>
      <c r="B200" s="2">
        <f>C198*E198-F157*B158/2*B186/10</f>
        <v>39.6</v>
      </c>
    </row>
    <row r="201" spans="1:2" ht="12">
      <c r="A201" s="2" t="s">
        <v>749</v>
      </c>
      <c r="B201" s="2">
        <f>B199+B200*2</f>
        <v>169.4</v>
      </c>
    </row>
    <row r="202" spans="1:6" ht="12">
      <c r="A202" s="2" t="s">
        <v>750</v>
      </c>
      <c r="B202" s="2">
        <f>ROUND(C153*C151/B201,0)</f>
        <v>1138</v>
      </c>
      <c r="C202" s="5" t="str">
        <f>IF(B202&lt;D202,"&lt;","&gt;")</f>
        <v>&lt;</v>
      </c>
      <c r="D202" s="10">
        <f>E105</f>
        <v>1400</v>
      </c>
      <c r="E202" s="2" t="s">
        <v>1425</v>
      </c>
      <c r="F202" s="9" t="str">
        <f>IF(B202&lt;D202,"OK","NG")</f>
        <v>OK</v>
      </c>
    </row>
  </sheetData>
  <sheetProtection password="AF41" sheet="1" objects="1" scenarios="1"/>
  <printOptions horizontalCentered="1"/>
  <pageMargins left="0.7874015748031497" right="0.7874015748031497" top="0.984251968503937" bottom="0.984251968503937" header="0.5118110236220472" footer="0.5118110236220472"/>
  <pageSetup horizontalDpi="600" verticalDpi="600" orientation="portrait" paperSize="9" scale="87" r:id="rId1"/>
  <rowBreaks count="4" manualBreakCount="4">
    <brk id="21" max="10" man="1"/>
    <brk id="63" max="10" man="1"/>
    <brk id="106" max="10" man="1"/>
    <brk id="145" max="10" man="1"/>
  </rowBreaks>
</worksheet>
</file>

<file path=xl/worksheets/sheet5.xml><?xml version="1.0" encoding="utf-8"?>
<worksheet xmlns="http://schemas.openxmlformats.org/spreadsheetml/2006/main" xmlns:r="http://schemas.openxmlformats.org/officeDocument/2006/relationships">
  <sheetPr codeName="Sheet5"/>
  <dimension ref="A1:Q202"/>
  <sheetViews>
    <sheetView zoomScale="80" zoomScaleNormal="80" zoomScalePageLayoutView="0" workbookViewId="0" topLeftCell="A1">
      <selection activeCell="G217" sqref="G217"/>
    </sheetView>
  </sheetViews>
  <sheetFormatPr defaultColWidth="9.00390625" defaultRowHeight="13.5"/>
  <cols>
    <col min="1" max="1" width="12.625" style="2" customWidth="1"/>
    <col min="2" max="2" width="10.875" style="2" customWidth="1"/>
    <col min="3" max="6" width="8.375" style="2" customWidth="1"/>
    <col min="7" max="9" width="8.125" style="2" customWidth="1"/>
  </cols>
  <sheetData>
    <row r="1" spans="1:8" ht="13.5">
      <c r="A1" s="2" t="s">
        <v>1501</v>
      </c>
      <c r="G1" s="2">
        <f>('床版'!C6-15)/2</f>
        <v>9</v>
      </c>
      <c r="H1" s="2" t="s">
        <v>1269</v>
      </c>
    </row>
    <row r="2" spans="1:8" ht="13.5">
      <c r="A2" s="2" t="s">
        <v>1538</v>
      </c>
      <c r="G2" s="12">
        <f>'外桁継手'!G2</f>
        <v>10</v>
      </c>
      <c r="H2" s="2" t="s">
        <v>1502</v>
      </c>
    </row>
    <row r="3" ht="13.5">
      <c r="A3" s="2" t="s">
        <v>1503</v>
      </c>
    </row>
    <row r="4" ht="13.5">
      <c r="A4" s="2" t="s">
        <v>1322</v>
      </c>
    </row>
    <row r="5" spans="1:5" ht="13.5">
      <c r="A5" s="2" t="s">
        <v>1506</v>
      </c>
      <c r="E5" s="4"/>
    </row>
    <row r="6" spans="1:8" ht="13.5">
      <c r="A6" s="5" t="s">
        <v>1507</v>
      </c>
      <c r="B6" s="5" t="s">
        <v>1508</v>
      </c>
      <c r="C6" s="5" t="s">
        <v>1509</v>
      </c>
      <c r="D6" s="5" t="s">
        <v>1510</v>
      </c>
      <c r="E6" s="5" t="s">
        <v>1511</v>
      </c>
      <c r="F6" s="5" t="s">
        <v>1512</v>
      </c>
      <c r="G6" s="5" t="s">
        <v>1513</v>
      </c>
      <c r="H6" s="2" t="s">
        <v>1423</v>
      </c>
    </row>
    <row r="7" spans="1:11" ht="13.5">
      <c r="A7" s="2">
        <f>G2</f>
        <v>10</v>
      </c>
      <c r="B7" s="6">
        <f>ROUND('ms date'!F101*'ms date'!E2^2/2*(A7/'ms date'!E2*(1-A7/'ms date'!E2)),3)</f>
        <v>280.37</v>
      </c>
      <c r="C7" s="6">
        <f>ROUND('ms date'!F102*'ms date'!E2^2/2*(A7/'ms date'!E2*(1-A7/'ms date'!E2)),3)</f>
        <v>92.575</v>
      </c>
      <c r="D7" s="6">
        <f>ROUND(A7*(1-'ms date'!E4),3)</f>
        <v>6.97</v>
      </c>
      <c r="E7" s="6">
        <f>'ms date'!E2-D7-'ms date'!E3</f>
        <v>16.03</v>
      </c>
      <c r="F7" s="6">
        <f>ROUND('ms date'!F103*'ms date'!E4/2*('ms date'!E3+2*E7)*A7-'ms date'!F103/2*(A7-D7)^2,3)</f>
        <v>136</v>
      </c>
      <c r="G7" s="6">
        <f>ROUND((F7+C7)*'ms date'!F104,3)</f>
        <v>55.544</v>
      </c>
      <c r="H7" s="7">
        <f>B7+F7+C7+G7</f>
        <v>564.489</v>
      </c>
      <c r="K7" s="2" t="s">
        <v>1423</v>
      </c>
    </row>
    <row r="8" spans="1:11" ht="13.5">
      <c r="A8" s="2" t="s">
        <v>1514</v>
      </c>
      <c r="D8" s="7">
        <f>H7</f>
        <v>564.489</v>
      </c>
      <c r="E8" s="2" t="s">
        <v>1515</v>
      </c>
      <c r="K8" s="2">
        <f>H7*10^5</f>
        <v>56448900</v>
      </c>
    </row>
    <row r="9" spans="1:11" ht="13.5">
      <c r="A9" s="5" t="s">
        <v>1516</v>
      </c>
      <c r="B9" s="5" t="s">
        <v>1517</v>
      </c>
      <c r="C9" s="5" t="s">
        <v>1518</v>
      </c>
      <c r="D9" s="5" t="s">
        <v>1519</v>
      </c>
      <c r="E9" s="5" t="s">
        <v>1520</v>
      </c>
      <c r="F9" s="2" t="s">
        <v>1521</v>
      </c>
      <c r="K9" s="2" t="s">
        <v>1521</v>
      </c>
    </row>
    <row r="10" spans="1:11" ht="13.5">
      <c r="A10" s="2">
        <f>G2</f>
        <v>10</v>
      </c>
      <c r="B10" s="6">
        <f>ROUND('ms date'!F264*'ms date'!E2*(1/2-A10/'ms date'!E2),3)</f>
        <v>15.847</v>
      </c>
      <c r="C10" s="6">
        <f>ROUND(('ms date'!F265*'ms date'!E2)/2*(1-A10/'ms date'!E2)^2,3)</f>
        <v>6.452</v>
      </c>
      <c r="D10" s="6">
        <f>ROUND('ms date'!F266*'ms date'!E3*('ms date'!E2-A10-'ms date'!E3/2)/'ms date'!E2,3)</f>
        <v>15.055</v>
      </c>
      <c r="E10" s="6">
        <f>ROUND((D10+C10)*'ms date'!F267,3)</f>
        <v>5.226</v>
      </c>
      <c r="F10" s="6">
        <f>SUM(B10:E10)</f>
        <v>42.58</v>
      </c>
      <c r="K10" s="2">
        <f>F10*10^3</f>
        <v>42580</v>
      </c>
    </row>
    <row r="11" spans="1:5" ht="13.5">
      <c r="A11" s="2" t="s">
        <v>1522</v>
      </c>
      <c r="D11" s="6">
        <f>F10</f>
        <v>42.58</v>
      </c>
      <c r="E11" s="2" t="s">
        <v>1523</v>
      </c>
    </row>
    <row r="12" ht="13.5">
      <c r="A12" s="2" t="s">
        <v>1524</v>
      </c>
    </row>
    <row r="13" spans="1:5" ht="13.5">
      <c r="A13" s="2" t="s">
        <v>1525</v>
      </c>
      <c r="C13" s="2">
        <f>'主桁'!B407</f>
        <v>510</v>
      </c>
      <c r="D13" s="5" t="s">
        <v>1526</v>
      </c>
      <c r="E13" s="2">
        <f>'主桁'!D407</f>
        <v>36</v>
      </c>
    </row>
    <row r="14" spans="1:5" ht="13.5">
      <c r="A14" s="2" t="s">
        <v>1527</v>
      </c>
      <c r="D14" s="2">
        <f>'主桁'!B416</f>
        <v>48214</v>
      </c>
      <c r="E14" s="2" t="s">
        <v>1528</v>
      </c>
    </row>
    <row r="15" spans="1:5" ht="13.5">
      <c r="A15" s="2" t="s">
        <v>1529</v>
      </c>
      <c r="D15" s="2">
        <f>'主桁'!F407</f>
        <v>183.6</v>
      </c>
      <c r="E15" s="2" t="s">
        <v>1530</v>
      </c>
    </row>
    <row r="16" ht="13.5">
      <c r="A16" s="2" t="s">
        <v>1531</v>
      </c>
    </row>
    <row r="17" spans="1:6" ht="13.5">
      <c r="A17" s="2">
        <f>ROUND(D8*10^5/D14,0)</f>
        <v>1171</v>
      </c>
      <c r="B17" s="2" t="s">
        <v>1532</v>
      </c>
      <c r="C17" s="5" t="str">
        <f>IF(A17&lt;E17,"&lt;","&gt;")</f>
        <v>&gt;</v>
      </c>
      <c r="D17" s="2" t="s">
        <v>1533</v>
      </c>
      <c r="E17" s="2">
        <f>0.75*'主桁'!E397</f>
        <v>1050</v>
      </c>
      <c r="F17" s="2" t="s">
        <v>1532</v>
      </c>
    </row>
    <row r="18" ht="13.5">
      <c r="A18" s="2" t="s">
        <v>1539</v>
      </c>
    </row>
    <row r="19" ht="13.5">
      <c r="A19" s="2" t="s">
        <v>0</v>
      </c>
    </row>
    <row r="20" spans="1:6" ht="13.5">
      <c r="A20" s="2">
        <f>A17</f>
        <v>1171</v>
      </c>
      <c r="B20" s="2" t="s">
        <v>1</v>
      </c>
      <c r="C20" s="5" t="str">
        <f>IF(A20&lt;E20,"&lt;","&gt;")</f>
        <v>&gt;</v>
      </c>
      <c r="D20" s="2" t="s">
        <v>2</v>
      </c>
      <c r="E20" s="2">
        <f>E17</f>
        <v>1050</v>
      </c>
      <c r="F20" s="2" t="s">
        <v>1</v>
      </c>
    </row>
    <row r="21" spans="1:7" ht="13.5">
      <c r="A21" s="2" t="s">
        <v>3</v>
      </c>
      <c r="D21" s="2" t="str">
        <f>IF(A17&lt;E17,"許容応力","実応力")</f>
        <v>実応力</v>
      </c>
      <c r="E21" s="12">
        <f>IF(A17&lt;E17,E17,A17)</f>
        <v>1171</v>
      </c>
      <c r="F21" s="2" t="s">
        <v>1532</v>
      </c>
      <c r="G21" s="2" t="s">
        <v>1534</v>
      </c>
    </row>
    <row r="22" ht="13.5">
      <c r="A22" s="2" t="s">
        <v>4</v>
      </c>
    </row>
    <row r="24" spans="1:7" ht="13.5">
      <c r="A24" s="2" t="s">
        <v>5</v>
      </c>
      <c r="D24" s="2">
        <f>'主桁'!H304</f>
        <v>220</v>
      </c>
      <c r="E24" s="2" t="s">
        <v>6</v>
      </c>
      <c r="F24" s="2">
        <f>D24*10</f>
        <v>2200</v>
      </c>
      <c r="G24" s="2" t="s">
        <v>7</v>
      </c>
    </row>
    <row r="25" spans="1:7" ht="13.5">
      <c r="A25" s="2" t="s">
        <v>8</v>
      </c>
      <c r="D25" s="2">
        <f>D24/2</f>
        <v>110</v>
      </c>
      <c r="E25" s="2" t="s">
        <v>6</v>
      </c>
      <c r="F25" s="2">
        <f>D25*10</f>
        <v>1100</v>
      </c>
      <c r="G25" s="2" t="s">
        <v>7</v>
      </c>
    </row>
    <row r="26" ht="13.5">
      <c r="A26" s="2" t="s">
        <v>9</v>
      </c>
    </row>
    <row r="27" spans="1:7" ht="13.5">
      <c r="A27" s="2" t="s">
        <v>603</v>
      </c>
      <c r="D27" s="2">
        <f>E13/10</f>
        <v>3.6</v>
      </c>
      <c r="E27" s="2" t="s">
        <v>6</v>
      </c>
      <c r="F27" s="2">
        <f>D27*10</f>
        <v>36</v>
      </c>
      <c r="G27" s="2" t="s">
        <v>7</v>
      </c>
    </row>
    <row r="28" spans="1:7" ht="13.5">
      <c r="A28" s="2" t="s">
        <v>10</v>
      </c>
      <c r="D28" s="8">
        <v>9.5</v>
      </c>
      <c r="E28" s="2" t="s">
        <v>6</v>
      </c>
      <c r="F28" s="2">
        <f>D28*10</f>
        <v>95</v>
      </c>
      <c r="G28" s="2" t="s">
        <v>7</v>
      </c>
    </row>
    <row r="29" spans="1:7" ht="13.5">
      <c r="A29" s="2" t="s">
        <v>559</v>
      </c>
      <c r="D29" s="8">
        <v>4</v>
      </c>
      <c r="E29" s="2" t="s">
        <v>11</v>
      </c>
      <c r="F29" s="2">
        <f aca="true" t="shared" si="0" ref="F29:F34">D29*10</f>
        <v>40</v>
      </c>
      <c r="G29" s="2" t="s">
        <v>12</v>
      </c>
    </row>
    <row r="30" spans="1:7" ht="13.5">
      <c r="A30" s="2" t="s">
        <v>13</v>
      </c>
      <c r="D30" s="64">
        <v>10</v>
      </c>
      <c r="E30" s="2" t="s">
        <v>14</v>
      </c>
      <c r="F30" s="2">
        <f t="shared" si="0"/>
        <v>100</v>
      </c>
      <c r="G30" s="2" t="s">
        <v>15</v>
      </c>
    </row>
    <row r="31" spans="1:7" ht="13.5">
      <c r="A31" s="2" t="s">
        <v>16</v>
      </c>
      <c r="D31" s="8">
        <v>8.5</v>
      </c>
      <c r="E31" s="2" t="s">
        <v>14</v>
      </c>
      <c r="F31" s="2">
        <f>D31*10</f>
        <v>85</v>
      </c>
      <c r="G31" s="2" t="s">
        <v>15</v>
      </c>
    </row>
    <row r="32" spans="1:7" ht="13.5">
      <c r="A32" s="2" t="s">
        <v>17</v>
      </c>
      <c r="D32" s="12">
        <f>D24-(D28*2+D30*2+D31*2)</f>
        <v>164</v>
      </c>
      <c r="E32" s="2" t="s">
        <v>18</v>
      </c>
      <c r="F32" s="2">
        <f>D32*10</f>
        <v>1640</v>
      </c>
      <c r="G32" s="2" t="s">
        <v>19</v>
      </c>
    </row>
    <row r="33" spans="1:7" ht="13.5">
      <c r="A33" s="2" t="s">
        <v>20</v>
      </c>
      <c r="B33" s="2" t="s">
        <v>21</v>
      </c>
      <c r="D33" s="64">
        <v>13.6</v>
      </c>
      <c r="E33" s="2" t="s">
        <v>14</v>
      </c>
      <c r="F33" s="2">
        <f>D33*10</f>
        <v>136</v>
      </c>
      <c r="G33" s="2" t="s">
        <v>15</v>
      </c>
    </row>
    <row r="34" spans="1:8" ht="13.5">
      <c r="A34" s="2" t="s">
        <v>22</v>
      </c>
      <c r="B34" s="2" t="s">
        <v>601</v>
      </c>
      <c r="C34" s="64">
        <v>12</v>
      </c>
      <c r="D34" s="2">
        <f>C34*D33</f>
        <v>163.2</v>
      </c>
      <c r="E34" s="2" t="s">
        <v>18</v>
      </c>
      <c r="F34" s="2">
        <f t="shared" si="0"/>
        <v>1632</v>
      </c>
      <c r="G34" s="2" t="s">
        <v>19</v>
      </c>
      <c r="H34" s="2">
        <f>D32/C34</f>
        <v>13.666666666666666</v>
      </c>
    </row>
    <row r="35" spans="1:11" ht="13.5">
      <c r="A35" s="2" t="s">
        <v>1535</v>
      </c>
      <c r="D35" s="2">
        <f>(D24-D36)/2</f>
        <v>0.4000000000000057</v>
      </c>
      <c r="E35" s="2" t="s">
        <v>23</v>
      </c>
      <c r="F35" s="2">
        <f>D35*10</f>
        <v>4.000000000000057</v>
      </c>
      <c r="G35" s="2" t="s">
        <v>24</v>
      </c>
      <c r="H35" s="5" t="str">
        <f>IF(D35&lt;D42,"&lt;","&gt;")</f>
        <v>&lt;</v>
      </c>
      <c r="I35" s="2">
        <f>F42</f>
        <v>5</v>
      </c>
      <c r="J35" s="2" t="s">
        <v>1264</v>
      </c>
      <c r="K35" s="9" t="str">
        <f>IF(I35&gt;F35,"OK","NG")</f>
        <v>OK</v>
      </c>
    </row>
    <row r="36" spans="1:7" ht="13.5">
      <c r="A36" s="2" t="s">
        <v>25</v>
      </c>
      <c r="D36" s="2">
        <f>D28*2+D30*2+D31*2+D34</f>
        <v>219.2</v>
      </c>
      <c r="E36" s="2" t="s">
        <v>26</v>
      </c>
      <c r="F36" s="2">
        <f>D36*10</f>
        <v>2192</v>
      </c>
      <c r="G36" s="2" t="s">
        <v>27</v>
      </c>
    </row>
    <row r="37" spans="1:5" ht="13.5">
      <c r="A37" s="2" t="s">
        <v>28</v>
      </c>
      <c r="B37" s="2">
        <f>D24+D27*2</f>
        <v>227.2</v>
      </c>
      <c r="C37" s="5" t="str">
        <f>IF(B37&lt;D37,"&lt;","&gt;")</f>
        <v>&gt;</v>
      </c>
      <c r="D37" s="2">
        <f>D36</f>
        <v>219.2</v>
      </c>
      <c r="E37" s="9" t="str">
        <f>IF(B37&gt;D37,"OK","NG")</f>
        <v>OK</v>
      </c>
    </row>
    <row r="38" spans="1:9" ht="13.5">
      <c r="A38" s="2" t="s">
        <v>29</v>
      </c>
      <c r="B38" s="10"/>
      <c r="C38" s="11"/>
      <c r="D38" s="10"/>
      <c r="E38" s="10"/>
      <c r="F38" s="10"/>
      <c r="G38" s="10"/>
      <c r="H38" s="10"/>
      <c r="I38" s="10"/>
    </row>
    <row r="39" spans="1:9" ht="13.5">
      <c r="A39" s="10" t="s">
        <v>30</v>
      </c>
      <c r="B39" s="10"/>
      <c r="C39" s="11"/>
      <c r="D39" s="10">
        <f>D27</f>
        <v>3.6</v>
      </c>
      <c r="E39" s="2" t="s">
        <v>6</v>
      </c>
      <c r="F39" s="2">
        <f>D39*10</f>
        <v>36</v>
      </c>
      <c r="G39" s="2" t="s">
        <v>7</v>
      </c>
      <c r="H39" s="10"/>
      <c r="I39" s="10"/>
    </row>
    <row r="40" spans="1:9" ht="13.5">
      <c r="A40" s="10" t="s">
        <v>31</v>
      </c>
      <c r="B40" s="10"/>
      <c r="C40" s="11"/>
      <c r="D40" s="10">
        <f>D28-D29</f>
        <v>5.5</v>
      </c>
      <c r="E40" s="2" t="s">
        <v>6</v>
      </c>
      <c r="F40" s="2">
        <f aca="true" t="shared" si="1" ref="F40:F47">D40*10</f>
        <v>55</v>
      </c>
      <c r="G40" s="2" t="s">
        <v>7</v>
      </c>
      <c r="H40" s="10"/>
      <c r="I40" s="10"/>
    </row>
    <row r="41" spans="1:9" ht="13.5">
      <c r="A41" s="10" t="s">
        <v>32</v>
      </c>
      <c r="B41" s="10"/>
      <c r="C41" s="11"/>
      <c r="D41" s="10">
        <f>D29*2+D30</f>
        <v>18</v>
      </c>
      <c r="E41" s="2" t="s">
        <v>6</v>
      </c>
      <c r="F41" s="2">
        <f t="shared" si="1"/>
        <v>180</v>
      </c>
      <c r="G41" s="2" t="s">
        <v>7</v>
      </c>
      <c r="H41" s="10"/>
      <c r="I41" s="10"/>
    </row>
    <row r="42" spans="1:9" ht="13.5">
      <c r="A42" s="10" t="s">
        <v>33</v>
      </c>
      <c r="B42" s="10"/>
      <c r="C42" s="11"/>
      <c r="D42" s="10">
        <f>D31-D29*2</f>
        <v>0.5</v>
      </c>
      <c r="E42" s="2" t="s">
        <v>6</v>
      </c>
      <c r="F42" s="2">
        <f t="shared" si="1"/>
        <v>5</v>
      </c>
      <c r="G42" s="2" t="s">
        <v>7</v>
      </c>
      <c r="H42" s="10"/>
      <c r="I42" s="10"/>
    </row>
    <row r="43" spans="1:9" ht="13.5">
      <c r="A43" s="10" t="s">
        <v>560</v>
      </c>
      <c r="B43" s="10"/>
      <c r="C43" s="11" t="s">
        <v>716</v>
      </c>
      <c r="D43" s="10">
        <f>D29*2+D34+D35*2</f>
        <v>172</v>
      </c>
      <c r="E43" s="2" t="s">
        <v>6</v>
      </c>
      <c r="F43" s="2">
        <f t="shared" si="1"/>
        <v>1720</v>
      </c>
      <c r="G43" s="2" t="s">
        <v>7</v>
      </c>
      <c r="H43" s="10"/>
      <c r="I43" s="10"/>
    </row>
    <row r="44" spans="1:9" ht="13.5">
      <c r="A44" s="10" t="s">
        <v>561</v>
      </c>
      <c r="B44" s="10"/>
      <c r="C44" s="11"/>
      <c r="D44" s="10">
        <f>D42</f>
        <v>0.5</v>
      </c>
      <c r="E44" s="2" t="s">
        <v>6</v>
      </c>
      <c r="F44" s="2">
        <f t="shared" si="1"/>
        <v>5</v>
      </c>
      <c r="G44" s="2" t="s">
        <v>7</v>
      </c>
      <c r="H44" s="10"/>
      <c r="I44" s="10"/>
    </row>
    <row r="45" spans="1:9" ht="13.5">
      <c r="A45" s="10" t="s">
        <v>562</v>
      </c>
      <c r="B45" s="10"/>
      <c r="C45" s="11"/>
      <c r="D45" s="10">
        <f>D41</f>
        <v>18</v>
      </c>
      <c r="E45" s="2" t="s">
        <v>6</v>
      </c>
      <c r="F45" s="2">
        <f t="shared" si="1"/>
        <v>180</v>
      </c>
      <c r="G45" s="2" t="s">
        <v>7</v>
      </c>
      <c r="H45" s="10"/>
      <c r="I45" s="10"/>
    </row>
    <row r="46" spans="1:9" ht="13.5">
      <c r="A46" s="10" t="s">
        <v>563</v>
      </c>
      <c r="B46" s="10"/>
      <c r="C46" s="11"/>
      <c r="D46" s="10">
        <f>D40</f>
        <v>5.5</v>
      </c>
      <c r="E46" s="2" t="s">
        <v>6</v>
      </c>
      <c r="F46" s="2">
        <f t="shared" si="1"/>
        <v>55</v>
      </c>
      <c r="G46" s="2" t="s">
        <v>7</v>
      </c>
      <c r="H46" s="10"/>
      <c r="I46" s="10"/>
    </row>
    <row r="47" spans="1:9" ht="13.5">
      <c r="A47" s="10" t="s">
        <v>564</v>
      </c>
      <c r="B47" s="10"/>
      <c r="C47" s="11"/>
      <c r="D47" s="10">
        <f>D39</f>
        <v>3.6</v>
      </c>
      <c r="E47" s="2" t="s">
        <v>6</v>
      </c>
      <c r="F47" s="2">
        <f t="shared" si="1"/>
        <v>36</v>
      </c>
      <c r="G47" s="2" t="s">
        <v>7</v>
      </c>
      <c r="H47" s="10"/>
      <c r="I47" s="10"/>
    </row>
    <row r="48" ht="13.5">
      <c r="A48" s="2" t="s">
        <v>565</v>
      </c>
    </row>
    <row r="49" ht="13.5">
      <c r="A49" s="2" t="s">
        <v>566</v>
      </c>
    </row>
    <row r="50" spans="1:7" ht="13.5">
      <c r="A50" s="5">
        <v>1</v>
      </c>
      <c r="D50" s="2">
        <f>D29</f>
        <v>4</v>
      </c>
      <c r="E50" s="2" t="s">
        <v>567</v>
      </c>
      <c r="F50" s="2">
        <f>D50*10</f>
        <v>40</v>
      </c>
      <c r="G50" s="2" t="s">
        <v>568</v>
      </c>
    </row>
    <row r="51" spans="1:7" ht="13.5">
      <c r="A51" s="5" t="s">
        <v>569</v>
      </c>
      <c r="B51" s="2" t="s">
        <v>570</v>
      </c>
      <c r="C51" s="64">
        <v>3</v>
      </c>
      <c r="D51" s="64">
        <v>7.5</v>
      </c>
      <c r="E51" s="2" t="s">
        <v>571</v>
      </c>
      <c r="F51" s="2">
        <f>D51*10</f>
        <v>75</v>
      </c>
      <c r="G51" s="2" t="s">
        <v>572</v>
      </c>
    </row>
    <row r="52" spans="1:7" ht="13.5">
      <c r="A52" s="5">
        <v>2</v>
      </c>
      <c r="C52" s="3"/>
      <c r="D52" s="12">
        <f>C51*D51</f>
        <v>22.5</v>
      </c>
      <c r="E52" s="2" t="s">
        <v>571</v>
      </c>
      <c r="F52" s="2">
        <f>D52*10</f>
        <v>225</v>
      </c>
      <c r="G52" s="2" t="s">
        <v>572</v>
      </c>
    </row>
    <row r="53" spans="1:7" ht="13.5">
      <c r="A53" s="5">
        <v>3</v>
      </c>
      <c r="B53" s="2" t="s">
        <v>573</v>
      </c>
      <c r="D53" s="8">
        <v>8.5</v>
      </c>
      <c r="E53" s="2" t="s">
        <v>571</v>
      </c>
      <c r="F53" s="2">
        <f>D53*10</f>
        <v>85</v>
      </c>
      <c r="G53" s="2" t="s">
        <v>572</v>
      </c>
    </row>
    <row r="54" ht="13.5">
      <c r="A54" s="2" t="s">
        <v>574</v>
      </c>
    </row>
    <row r="55" spans="1:7" ht="13.5">
      <c r="A55" s="2" t="s">
        <v>575</v>
      </c>
      <c r="D55" s="12">
        <f>D50*2+D52*2+D53</f>
        <v>61.5</v>
      </c>
      <c r="E55" s="2" t="s">
        <v>567</v>
      </c>
      <c r="F55" s="2">
        <f>D55*10</f>
        <v>615</v>
      </c>
      <c r="G55" s="2" t="s">
        <v>568</v>
      </c>
    </row>
    <row r="56" spans="1:7" ht="13.5">
      <c r="A56" s="2" t="s">
        <v>576</v>
      </c>
      <c r="B56" s="64">
        <v>4</v>
      </c>
      <c r="C56" s="2" t="s">
        <v>602</v>
      </c>
      <c r="D56" s="12">
        <f>D50*2+D51*2+D53</f>
        <v>31.5</v>
      </c>
      <c r="E56" s="2" t="s">
        <v>567</v>
      </c>
      <c r="F56" s="2">
        <f>D56*10</f>
        <v>315</v>
      </c>
      <c r="G56" s="2" t="s">
        <v>568</v>
      </c>
    </row>
    <row r="57" spans="1:4" ht="13.5">
      <c r="A57" s="12" t="s">
        <v>1537</v>
      </c>
      <c r="D57" s="10"/>
    </row>
    <row r="58" spans="1:5" ht="13.5">
      <c r="A58" s="12" t="s">
        <v>603</v>
      </c>
      <c r="B58" s="2">
        <f>ROUND($B$59*E58/$E$59,0)</f>
        <v>1209</v>
      </c>
      <c r="D58" s="10" t="s">
        <v>604</v>
      </c>
      <c r="E58" s="2">
        <f>E59+F39</f>
        <v>1136</v>
      </c>
    </row>
    <row r="59" spans="1:8" ht="13.5">
      <c r="A59" s="2" t="s">
        <v>577</v>
      </c>
      <c r="B59" s="2">
        <f>E21</f>
        <v>1171</v>
      </c>
      <c r="D59" s="10" t="s">
        <v>578</v>
      </c>
      <c r="E59" s="2">
        <f>F24/2</f>
        <v>1100</v>
      </c>
      <c r="G59" s="2">
        <v>1</v>
      </c>
      <c r="H59" s="2">
        <f>F27</f>
        <v>36</v>
      </c>
    </row>
    <row r="60" spans="1:8" ht="13.5">
      <c r="A60" s="2" t="s">
        <v>717</v>
      </c>
      <c r="B60" s="2">
        <f>ROUND($B$59*E60/$E$59,0)</f>
        <v>978</v>
      </c>
      <c r="D60" s="10" t="s">
        <v>579</v>
      </c>
      <c r="E60" s="2">
        <f>E59-F27-F28-F30/2</f>
        <v>919</v>
      </c>
      <c r="G60" s="2">
        <v>2</v>
      </c>
      <c r="H60" s="2">
        <f>F28+F30/2</f>
        <v>145</v>
      </c>
    </row>
    <row r="61" spans="1:8" ht="13.5">
      <c r="A61" s="2" t="s">
        <v>580</v>
      </c>
      <c r="B61" s="2">
        <f>ROUND($B$59*E61/$E$59,0)</f>
        <v>883</v>
      </c>
      <c r="D61" s="10" t="s">
        <v>581</v>
      </c>
      <c r="E61" s="2">
        <f>E60-F29-F30/2</f>
        <v>829</v>
      </c>
      <c r="G61" s="2">
        <v>3</v>
      </c>
      <c r="H61" s="2">
        <f>F30/2+F29</f>
        <v>90</v>
      </c>
    </row>
    <row r="62" spans="1:8" ht="13.5">
      <c r="A62" s="2" t="s">
        <v>582</v>
      </c>
      <c r="B62" s="2">
        <f>ROUND($B$59*E62/$E$59,0)</f>
        <v>762</v>
      </c>
      <c r="D62" s="10" t="s">
        <v>583</v>
      </c>
      <c r="E62" s="2">
        <f>E61-F42-F29-F33/2</f>
        <v>716</v>
      </c>
      <c r="G62" s="2">
        <v>4</v>
      </c>
      <c r="H62" s="2">
        <f>F44+F29+F33/2</f>
        <v>113</v>
      </c>
    </row>
    <row r="63" spans="1:8" ht="13.5">
      <c r="A63" s="2" t="s">
        <v>584</v>
      </c>
      <c r="B63" s="2">
        <f>ROUND($B$59*E63/$E$59,0)</f>
        <v>617</v>
      </c>
      <c r="D63" s="10" t="s">
        <v>585</v>
      </c>
      <c r="E63" s="2">
        <f>E62-F33</f>
        <v>580</v>
      </c>
      <c r="G63" s="2">
        <v>5</v>
      </c>
      <c r="H63" s="2">
        <f>F33</f>
        <v>136</v>
      </c>
    </row>
    <row r="66" ht="13.5">
      <c r="A66" s="12" t="s">
        <v>586</v>
      </c>
    </row>
    <row r="67" ht="13.5">
      <c r="A67" s="2" t="s">
        <v>587</v>
      </c>
    </row>
    <row r="68" spans="1:5" ht="13.5">
      <c r="A68" s="2" t="s">
        <v>588</v>
      </c>
      <c r="B68" s="2">
        <f>2*4800</f>
        <v>9600</v>
      </c>
      <c r="C68" s="2" t="s">
        <v>589</v>
      </c>
      <c r="E68" s="64">
        <v>1</v>
      </c>
    </row>
    <row r="69" spans="1:4" ht="13.5">
      <c r="A69" s="2" t="s">
        <v>590</v>
      </c>
      <c r="C69" s="64">
        <v>4</v>
      </c>
      <c r="D69" s="2" t="s">
        <v>1536</v>
      </c>
    </row>
    <row r="70" spans="1:8" ht="13.5">
      <c r="A70" s="2" t="s">
        <v>591</v>
      </c>
      <c r="C70" s="2">
        <f>ROUND((B59+B60)*H60/10*0.5*$E$68/C69,0)</f>
        <v>3895</v>
      </c>
      <c r="D70" s="2" t="s">
        <v>589</v>
      </c>
      <c r="E70" s="5" t="str">
        <f>IF(C70&lt;F70,"&lt;","&gt;")</f>
        <v>&lt;</v>
      </c>
      <c r="F70" s="2">
        <f>B68</f>
        <v>9600</v>
      </c>
      <c r="G70" s="2" t="s">
        <v>589</v>
      </c>
      <c r="H70" s="9" t="str">
        <f>IF(C70&lt;F70,"OK","NG")</f>
        <v>OK</v>
      </c>
    </row>
    <row r="72" spans="1:4" ht="13.5">
      <c r="A72" s="2" t="s">
        <v>592</v>
      </c>
      <c r="C72" s="64">
        <v>4</v>
      </c>
      <c r="D72" s="2" t="s">
        <v>1536</v>
      </c>
    </row>
    <row r="73" spans="1:8" ht="13.5">
      <c r="A73" s="2" t="s">
        <v>593</v>
      </c>
      <c r="C73" s="2">
        <f>ROUND((B60+B61)*H61/10*0.5*$E$68/C72,0)</f>
        <v>2094</v>
      </c>
      <c r="D73" s="2" t="s">
        <v>589</v>
      </c>
      <c r="E73" s="5" t="str">
        <f>IF(C73&lt;F73,"&lt;","&gt;")</f>
        <v>&lt;</v>
      </c>
      <c r="F73" s="2">
        <f>F70</f>
        <v>9600</v>
      </c>
      <c r="G73" s="2" t="s">
        <v>589</v>
      </c>
      <c r="H73" s="9" t="str">
        <f>IF(C73&lt;F73,"OK","NG")</f>
        <v>OK</v>
      </c>
    </row>
    <row r="75" spans="1:17" ht="13.5">
      <c r="A75" s="8" t="s">
        <v>594</v>
      </c>
      <c r="C75" s="64">
        <v>2</v>
      </c>
      <c r="D75" s="2" t="s">
        <v>1536</v>
      </c>
      <c r="J75" s="8" t="s">
        <v>389</v>
      </c>
      <c r="K75" s="2"/>
      <c r="L75" s="64">
        <v>2</v>
      </c>
      <c r="M75" s="2" t="s">
        <v>1536</v>
      </c>
      <c r="N75" s="2"/>
      <c r="O75" s="2"/>
      <c r="P75" s="2"/>
      <c r="Q75" s="2"/>
    </row>
    <row r="76" spans="1:17" ht="13.5">
      <c r="A76" s="2" t="s">
        <v>595</v>
      </c>
      <c r="C76" s="2">
        <f>ROUND((B61+B62)*H62/10*0.5*$E$68/C75,0)</f>
        <v>4647</v>
      </c>
      <c r="D76" s="2" t="s">
        <v>589</v>
      </c>
      <c r="E76" s="5" t="str">
        <f>IF(C76&lt;F76,"&lt;","&gt;")</f>
        <v>&lt;</v>
      </c>
      <c r="F76" s="2">
        <f>F73</f>
        <v>9600</v>
      </c>
      <c r="G76" s="2" t="s">
        <v>589</v>
      </c>
      <c r="H76" s="9" t="str">
        <f>IF(C76&lt;F76,"OK","NG")</f>
        <v>OK</v>
      </c>
      <c r="J76" s="2" t="s">
        <v>390</v>
      </c>
      <c r="K76" s="2"/>
      <c r="L76" s="2">
        <f>ROUND((B62+B63)*H63/10*0.5*$E$68/L75,0)</f>
        <v>4689</v>
      </c>
      <c r="M76" s="2" t="s">
        <v>589</v>
      </c>
      <c r="N76" s="5" t="str">
        <f>IF(L76&lt;O76,"&lt;","&gt;")</f>
        <v>&lt;</v>
      </c>
      <c r="O76" s="2">
        <f>B68</f>
        <v>9600</v>
      </c>
      <c r="P76" s="2" t="s">
        <v>589</v>
      </c>
      <c r="Q76" s="9" t="str">
        <f>IF(L76&lt;O76,"OK","NG")</f>
        <v>OK</v>
      </c>
    </row>
    <row r="78" ht="13.5">
      <c r="A78" s="2" t="s">
        <v>596</v>
      </c>
    </row>
    <row r="79" ht="13.5">
      <c r="A79" s="2" t="s">
        <v>597</v>
      </c>
    </row>
    <row r="80" spans="1:4" ht="13.5">
      <c r="A80" s="2" t="s">
        <v>1460</v>
      </c>
      <c r="B80" s="6">
        <f>F10</f>
        <v>42.58</v>
      </c>
      <c r="D80" s="2">
        <f>B80*10^3</f>
        <v>42580</v>
      </c>
    </row>
    <row r="81" spans="1:2" ht="13.5">
      <c r="A81" s="2" t="s">
        <v>1274</v>
      </c>
      <c r="B81" s="2">
        <f>(C34+1)*B56</f>
        <v>52</v>
      </c>
    </row>
    <row r="82" spans="1:7" ht="13.5">
      <c r="A82" s="2" t="s">
        <v>598</v>
      </c>
      <c r="B82" s="2">
        <f>ROUND(B80*10^3/B81,0)</f>
        <v>819</v>
      </c>
      <c r="C82" s="2" t="s">
        <v>589</v>
      </c>
      <c r="D82" s="5" t="str">
        <f>IF(B82&lt;E82,"&lt;","&gt;")</f>
        <v>&lt;</v>
      </c>
      <c r="E82" s="2">
        <f>F73</f>
        <v>9600</v>
      </c>
      <c r="F82" s="2" t="s">
        <v>589</v>
      </c>
      <c r="G82" s="9" t="str">
        <f>IF(B82&lt;E82,"OK","NG")</f>
        <v>OK</v>
      </c>
    </row>
    <row r="83" ht="13.5">
      <c r="A83" s="2" t="s">
        <v>599</v>
      </c>
    </row>
    <row r="84" ht="13.5">
      <c r="A84" s="2" t="s">
        <v>600</v>
      </c>
    </row>
    <row r="85" spans="1:6" ht="13.5">
      <c r="A85" s="2">
        <f>ROUND(SQRT(C70^2+B82^2),0)</f>
        <v>3980</v>
      </c>
      <c r="B85" s="2" t="s">
        <v>589</v>
      </c>
      <c r="C85" s="5" t="str">
        <f>IF(A85&lt;D85,"&lt;","&gt;")</f>
        <v>&lt;</v>
      </c>
      <c r="D85" s="2">
        <f>F73</f>
        <v>9600</v>
      </c>
      <c r="E85" s="2" t="s">
        <v>589</v>
      </c>
      <c r="F85" s="9" t="str">
        <f>IF(A85&lt;D85,"OK","NG")</f>
        <v>OK</v>
      </c>
    </row>
    <row r="87" ht="13.5">
      <c r="A87" s="2" t="s">
        <v>605</v>
      </c>
    </row>
    <row r="88" ht="13.5">
      <c r="A88" s="2" t="s">
        <v>606</v>
      </c>
    </row>
    <row r="89" spans="1:3" ht="13.5">
      <c r="A89" s="2" t="s">
        <v>607</v>
      </c>
      <c r="B89" s="2">
        <f>'主桁'!J408</f>
        <v>887333</v>
      </c>
      <c r="C89" s="2" t="s">
        <v>1495</v>
      </c>
    </row>
    <row r="90" ht="13.5">
      <c r="A90" s="2" t="s">
        <v>618</v>
      </c>
    </row>
    <row r="91" spans="1:3" ht="13.5">
      <c r="A91" s="2" t="s">
        <v>619</v>
      </c>
      <c r="B91" s="2">
        <f>'主桁'!C422*B89/'主桁'!J410</f>
        <v>10935554.65295028</v>
      </c>
      <c r="C91" s="2" t="s">
        <v>1440</v>
      </c>
    </row>
    <row r="92" spans="2:3" ht="13.5">
      <c r="B92" s="2">
        <f>ROUND(B91/1000000,3)</f>
        <v>10.936</v>
      </c>
      <c r="C92" s="2" t="s">
        <v>1319</v>
      </c>
    </row>
    <row r="93" ht="13.5">
      <c r="A93" s="2" t="s">
        <v>620</v>
      </c>
    </row>
    <row r="94" spans="1:14" ht="13.5">
      <c r="A94" s="8">
        <v>4</v>
      </c>
      <c r="B94" s="10">
        <f>F41</f>
        <v>180</v>
      </c>
      <c r="C94" s="5" t="s">
        <v>1266</v>
      </c>
      <c r="D94" s="64">
        <v>10</v>
      </c>
      <c r="E94" s="5" t="s">
        <v>1266</v>
      </c>
      <c r="F94" s="10">
        <f>F55</f>
        <v>615</v>
      </c>
      <c r="H94" s="2">
        <f>F94/2</f>
        <v>307.5</v>
      </c>
      <c r="J94" s="2"/>
      <c r="K94" s="2">
        <f>B94/10</f>
        <v>18</v>
      </c>
      <c r="L94" s="2">
        <f>D94/10</f>
        <v>1</v>
      </c>
      <c r="M94" s="2">
        <f>F94/10</f>
        <v>61.5</v>
      </c>
      <c r="N94" s="2"/>
    </row>
    <row r="95" spans="1:14" ht="13.5">
      <c r="A95" s="8">
        <v>2</v>
      </c>
      <c r="B95" s="10">
        <f>F43</f>
        <v>1720</v>
      </c>
      <c r="C95" s="5" t="s">
        <v>1266</v>
      </c>
      <c r="D95" s="64">
        <v>10</v>
      </c>
      <c r="E95" s="5" t="s">
        <v>1266</v>
      </c>
      <c r="F95" s="10">
        <f>F56</f>
        <v>315</v>
      </c>
      <c r="H95" s="2">
        <f>F95/2</f>
        <v>157.5</v>
      </c>
      <c r="J95" s="2"/>
      <c r="K95" s="2">
        <f>B95/10</f>
        <v>172</v>
      </c>
      <c r="L95" s="2">
        <f>D95/10</f>
        <v>1</v>
      </c>
      <c r="M95" s="2">
        <f>F95/10</f>
        <v>31.5</v>
      </c>
      <c r="N95" s="2"/>
    </row>
    <row r="96" spans="10:14" ht="13.5">
      <c r="J96" s="2"/>
      <c r="K96" s="2"/>
      <c r="L96" s="2"/>
      <c r="M96" s="2"/>
      <c r="N96" s="2"/>
    </row>
    <row r="97" spans="1:14" ht="13.5">
      <c r="A97" s="2" t="s">
        <v>708</v>
      </c>
      <c r="J97" s="2"/>
      <c r="K97" s="2"/>
      <c r="L97" s="2"/>
      <c r="M97" s="2"/>
      <c r="N97" s="2"/>
    </row>
    <row r="98" spans="1:14" ht="13.5">
      <c r="A98" s="2" t="s">
        <v>709</v>
      </c>
      <c r="D98" s="2">
        <f>B94/10*D94/10</f>
        <v>18</v>
      </c>
      <c r="E98" s="2" t="s">
        <v>1273</v>
      </c>
      <c r="J98" s="2"/>
      <c r="K98" s="2"/>
      <c r="L98" s="2"/>
      <c r="M98" s="2"/>
      <c r="N98" s="2"/>
    </row>
    <row r="99" spans="1:14" ht="13.5">
      <c r="A99" s="2" t="s">
        <v>710</v>
      </c>
      <c r="D99" s="2">
        <f>B95/10*D95/10</f>
        <v>172</v>
      </c>
      <c r="E99" s="2" t="s">
        <v>1273</v>
      </c>
      <c r="J99" s="2"/>
      <c r="K99" s="2"/>
      <c r="L99" s="2"/>
      <c r="M99" s="2"/>
      <c r="N99" s="2"/>
    </row>
    <row r="100" spans="1:14" ht="13.5">
      <c r="A100" s="2" t="s">
        <v>711</v>
      </c>
      <c r="B100" s="13">
        <f>ROUND(D94/10*D98^3/12,0)</f>
        <v>486</v>
      </c>
      <c r="C100" s="2" t="s">
        <v>1495</v>
      </c>
      <c r="E100" s="5"/>
      <c r="G100" s="5"/>
      <c r="J100" s="2"/>
      <c r="K100" s="2">
        <f>D41+D42+D43/2</f>
        <v>104.5</v>
      </c>
      <c r="L100" s="2" t="s">
        <v>391</v>
      </c>
      <c r="M100" s="2">
        <f>K100*10</f>
        <v>1045</v>
      </c>
      <c r="N100" s="2" t="s">
        <v>1264</v>
      </c>
    </row>
    <row r="101" spans="1:14" ht="13.5">
      <c r="A101" s="2" t="s">
        <v>712</v>
      </c>
      <c r="B101" s="13">
        <f>ROUND(D95/10*D99^3/12,0)</f>
        <v>424037</v>
      </c>
      <c r="C101" s="2" t="s">
        <v>1495</v>
      </c>
      <c r="E101" s="5"/>
      <c r="G101" s="5"/>
      <c r="J101" s="2"/>
      <c r="K101" s="2">
        <f>D41/2+D42+D43/2</f>
        <v>95.5</v>
      </c>
      <c r="L101" s="2" t="s">
        <v>904</v>
      </c>
      <c r="M101" s="2">
        <f>K101*10</f>
        <v>955</v>
      </c>
      <c r="N101" s="2" t="s">
        <v>939</v>
      </c>
    </row>
    <row r="102" spans="1:3" ht="13.5">
      <c r="A102" s="2" t="s">
        <v>713</v>
      </c>
      <c r="B102" s="5">
        <f>E60/10</f>
        <v>91.9</v>
      </c>
      <c r="C102" s="2" t="s">
        <v>718</v>
      </c>
    </row>
    <row r="103" spans="2:3" ht="13.5">
      <c r="B103" s="5">
        <f>ROUND(A94*B100+A95*B101+A94*D98*B102^2,0)</f>
        <v>1458102</v>
      </c>
      <c r="C103" s="2" t="s">
        <v>1459</v>
      </c>
    </row>
    <row r="104" ht="13.5">
      <c r="A104" s="2" t="s">
        <v>714</v>
      </c>
    </row>
    <row r="105" spans="1:7" ht="13.5">
      <c r="A105" s="2" t="s">
        <v>715</v>
      </c>
      <c r="B105" s="2">
        <f>ROUND(B91*B106/B103,0)</f>
        <v>784</v>
      </c>
      <c r="C105" s="2" t="s">
        <v>1425</v>
      </c>
      <c r="D105" s="5" t="str">
        <f>IF(B105&lt;E105,"&lt;","&gt;")</f>
        <v>&lt;</v>
      </c>
      <c r="E105" s="64">
        <f>'主桁'!E397</f>
        <v>1400</v>
      </c>
      <c r="F105" s="2" t="s">
        <v>1425</v>
      </c>
      <c r="G105" s="9" t="str">
        <f>IF(B105&lt;E105,"OK","NG")</f>
        <v>OK</v>
      </c>
    </row>
    <row r="106" spans="1:3" ht="13.5">
      <c r="A106" s="2" t="s">
        <v>719</v>
      </c>
      <c r="B106" s="2">
        <f>D41+D42+D43/2</f>
        <v>104.5</v>
      </c>
      <c r="C106" s="2" t="s">
        <v>1261</v>
      </c>
    </row>
    <row r="107" ht="13.5">
      <c r="A107" s="2" t="s">
        <v>720</v>
      </c>
    </row>
    <row r="108" ht="13.5">
      <c r="A108" s="2" t="s">
        <v>721</v>
      </c>
    </row>
    <row r="109" spans="1:4" ht="13.5">
      <c r="A109" s="2" t="s">
        <v>728</v>
      </c>
      <c r="C109" s="7">
        <f>H7</f>
        <v>564.489</v>
      </c>
      <c r="D109" s="2" t="s">
        <v>1319</v>
      </c>
    </row>
    <row r="110" ht="13.5">
      <c r="A110" s="2" t="s">
        <v>722</v>
      </c>
    </row>
    <row r="111" spans="1:5" ht="13.5">
      <c r="A111" s="2" t="s">
        <v>723</v>
      </c>
      <c r="C111" s="2">
        <f>'主桁'!B407</f>
        <v>510</v>
      </c>
      <c r="D111" s="1" t="s">
        <v>1276</v>
      </c>
      <c r="E111" s="2">
        <f>'主桁'!D407</f>
        <v>36</v>
      </c>
    </row>
    <row r="112" spans="1:7" ht="13.5">
      <c r="A112" s="2" t="s">
        <v>726</v>
      </c>
      <c r="C112" s="2">
        <f>'主桁'!B416</f>
        <v>48214</v>
      </c>
      <c r="D112" s="2" t="s">
        <v>1428</v>
      </c>
      <c r="F112" s="59">
        <f>C112*10^5</f>
        <v>4821400000</v>
      </c>
      <c r="G112" s="2" t="s">
        <v>1425</v>
      </c>
    </row>
    <row r="113" spans="1:6" ht="13.5">
      <c r="A113" s="2" t="s">
        <v>727</v>
      </c>
      <c r="C113" s="2">
        <f>'主桁'!F407</f>
        <v>183.6</v>
      </c>
      <c r="D113" s="2" t="s">
        <v>1273</v>
      </c>
      <c r="F113" s="5" t="s">
        <v>732</v>
      </c>
    </row>
    <row r="114" spans="1:8" ht="13.5">
      <c r="A114" s="2" t="s">
        <v>724</v>
      </c>
      <c r="C114" s="2">
        <f>ROUND(C109*10^5/C112,0)</f>
        <v>1171</v>
      </c>
      <c r="D114" s="2" t="s">
        <v>1425</v>
      </c>
      <c r="E114" s="5" t="str">
        <f>IF(C114&lt;F114,"&lt;","&gt;")</f>
        <v>&gt;</v>
      </c>
      <c r="F114" s="64">
        <f>'主桁'!E397*0.75</f>
        <v>1050</v>
      </c>
      <c r="G114" s="2" t="s">
        <v>1425</v>
      </c>
      <c r="H114" s="10"/>
    </row>
    <row r="115" spans="1:8" ht="13.5">
      <c r="A115" s="2" t="s">
        <v>729</v>
      </c>
      <c r="C115" s="2">
        <f>IF(C114&lt;F114,F114,C114)</f>
        <v>1171</v>
      </c>
      <c r="E115" s="5"/>
      <c r="F115" s="10"/>
      <c r="H115" s="10"/>
    </row>
    <row r="116" spans="1:3" ht="13.5">
      <c r="A116" s="2" t="s">
        <v>725</v>
      </c>
      <c r="C116" s="2">
        <f>ROUND(C113*C115/B68,1)</f>
        <v>22.4</v>
      </c>
    </row>
    <row r="117" spans="1:4" ht="13.5">
      <c r="A117" s="2" t="s">
        <v>730</v>
      </c>
      <c r="B117" s="64">
        <v>24</v>
      </c>
      <c r="C117" s="2" t="s">
        <v>731</v>
      </c>
      <c r="D117" s="9" t="str">
        <f>IF(C116&lt;B117,"OK","NG")</f>
        <v>OK</v>
      </c>
    </row>
    <row r="118" spans="1:9" ht="13.5">
      <c r="A118" s="10" t="s">
        <v>741</v>
      </c>
      <c r="B118" s="10"/>
      <c r="C118" s="10"/>
      <c r="D118" s="10"/>
      <c r="E118" s="10"/>
      <c r="F118" s="10"/>
      <c r="G118" s="10"/>
      <c r="H118" s="10"/>
      <c r="I118" s="10"/>
    </row>
    <row r="119" spans="1:7" ht="13.5">
      <c r="A119" s="10" t="s">
        <v>733</v>
      </c>
      <c r="B119" s="10">
        <f>C111</f>
        <v>510</v>
      </c>
      <c r="C119" s="10" t="s">
        <v>1450</v>
      </c>
      <c r="D119" s="10"/>
      <c r="E119" s="10"/>
      <c r="F119" s="10"/>
      <c r="G119" s="10"/>
    </row>
    <row r="120" spans="1:3" ht="13.5">
      <c r="A120" s="2" t="s">
        <v>1301</v>
      </c>
      <c r="B120" s="8">
        <v>40</v>
      </c>
      <c r="C120" s="2" t="s">
        <v>1450</v>
      </c>
    </row>
    <row r="121" spans="1:3" ht="13.5">
      <c r="A121" s="2" t="s">
        <v>1302</v>
      </c>
      <c r="B121" s="64">
        <v>130</v>
      </c>
      <c r="C121" s="2" t="s">
        <v>1450</v>
      </c>
    </row>
    <row r="122" spans="1:7" ht="13.5">
      <c r="A122" s="2" t="s">
        <v>1303</v>
      </c>
      <c r="B122" s="2">
        <f>B119-B120*2-B121*2</f>
        <v>170</v>
      </c>
      <c r="C122" s="2" t="s">
        <v>1450</v>
      </c>
      <c r="D122" s="5" t="str">
        <f>IF(B122&gt;E122,"&gt;","&lt;")</f>
        <v>&gt;</v>
      </c>
      <c r="E122" s="64">
        <v>130</v>
      </c>
      <c r="F122" s="2" t="s">
        <v>1450</v>
      </c>
      <c r="G122" s="9" t="str">
        <f>IF(B122&gt;E122,"OK","NG")</f>
        <v>OK</v>
      </c>
    </row>
    <row r="123" ht="13.5">
      <c r="A123" s="2" t="s">
        <v>734</v>
      </c>
    </row>
    <row r="124" spans="1:3" ht="13.5">
      <c r="A124" s="2" t="s">
        <v>735</v>
      </c>
      <c r="B124" s="8">
        <v>40</v>
      </c>
      <c r="C124" s="2" t="s">
        <v>1450</v>
      </c>
    </row>
    <row r="125" spans="1:3" ht="13.5">
      <c r="A125" s="2" t="s">
        <v>736</v>
      </c>
      <c r="B125" s="2">
        <v>75</v>
      </c>
      <c r="C125" s="2" t="s">
        <v>1450</v>
      </c>
    </row>
    <row r="126" spans="1:2" ht="13.5">
      <c r="A126" s="2" t="s">
        <v>739</v>
      </c>
      <c r="B126" s="64">
        <v>5</v>
      </c>
    </row>
    <row r="127" spans="1:3" ht="13.5">
      <c r="A127" s="2" t="s">
        <v>737</v>
      </c>
      <c r="B127" s="2">
        <f>B125*B126</f>
        <v>375</v>
      </c>
      <c r="C127" s="2" t="s">
        <v>1450</v>
      </c>
    </row>
    <row r="128" spans="1:3" ht="13.5">
      <c r="A128" s="2" t="s">
        <v>738</v>
      </c>
      <c r="B128" s="8">
        <v>85</v>
      </c>
      <c r="C128" s="2" t="s">
        <v>1450</v>
      </c>
    </row>
    <row r="129" spans="1:6" ht="13.5">
      <c r="A129" s="2" t="s">
        <v>740</v>
      </c>
      <c r="B129" s="2">
        <f>B124+B127+B128/2</f>
        <v>457.5</v>
      </c>
      <c r="C129" s="2" t="s">
        <v>1450</v>
      </c>
      <c r="D129" s="2" t="s">
        <v>751</v>
      </c>
      <c r="E129" s="2">
        <f>B129*2</f>
        <v>915</v>
      </c>
      <c r="F129" s="2" t="s">
        <v>1450</v>
      </c>
    </row>
    <row r="130" ht="13.5">
      <c r="A130" s="2" t="s">
        <v>742</v>
      </c>
    </row>
    <row r="131" spans="1:5" ht="13.5">
      <c r="A131" s="2" t="s">
        <v>743</v>
      </c>
      <c r="B131" s="2">
        <f>B120</f>
        <v>40</v>
      </c>
      <c r="D131" s="2" t="s">
        <v>735</v>
      </c>
      <c r="E131" s="2">
        <f>B131+B132+B133</f>
        <v>210</v>
      </c>
    </row>
    <row r="132" spans="1:5" ht="13.5">
      <c r="A132" s="2" t="s">
        <v>744</v>
      </c>
      <c r="B132" s="2">
        <f>B121</f>
        <v>130</v>
      </c>
      <c r="D132" s="2" t="s">
        <v>1320</v>
      </c>
      <c r="E132" s="64">
        <f>'主桁'!D408</f>
        <v>10</v>
      </c>
    </row>
    <row r="133" spans="1:2" ht="13.5">
      <c r="A133" s="2" t="s">
        <v>745</v>
      </c>
      <c r="B133" s="8">
        <v>40</v>
      </c>
    </row>
    <row r="134" spans="1:2" ht="13.5">
      <c r="A134" s="2" t="s">
        <v>746</v>
      </c>
      <c r="B134" s="10">
        <f>B122-B133*2</f>
        <v>90</v>
      </c>
    </row>
    <row r="135" ht="13.5">
      <c r="A135" s="2" t="s">
        <v>734</v>
      </c>
    </row>
    <row r="136" spans="1:2" ht="13.5">
      <c r="A136" s="2">
        <v>1</v>
      </c>
      <c r="B136" s="64">
        <v>18</v>
      </c>
    </row>
    <row r="137" spans="1:2" ht="13.5">
      <c r="A137" s="2">
        <v>2</v>
      </c>
      <c r="B137" s="2">
        <f>E111</f>
        <v>36</v>
      </c>
    </row>
    <row r="138" spans="1:2" ht="13.5">
      <c r="A138" s="2">
        <v>3</v>
      </c>
      <c r="B138" s="64">
        <f>B136</f>
        <v>18</v>
      </c>
    </row>
    <row r="139" ht="13.5">
      <c r="A139" s="2" t="s">
        <v>747</v>
      </c>
    </row>
    <row r="140" spans="1:8" ht="13.5">
      <c r="A140" s="64">
        <v>1</v>
      </c>
      <c r="B140" s="5" t="s">
        <v>1276</v>
      </c>
      <c r="C140" s="2">
        <f>B119/10</f>
        <v>51</v>
      </c>
      <c r="D140" s="5" t="s">
        <v>1276</v>
      </c>
      <c r="E140" s="2">
        <f>B136/10</f>
        <v>1.8</v>
      </c>
      <c r="F140" s="5" t="s">
        <v>1276</v>
      </c>
      <c r="G140" s="2">
        <f>E129/10</f>
        <v>91.5</v>
      </c>
      <c r="H140" s="2" t="s">
        <v>1261</v>
      </c>
    </row>
    <row r="141" spans="1:8" ht="13.5">
      <c r="A141" s="64">
        <v>2</v>
      </c>
      <c r="B141" s="5" t="s">
        <v>1276</v>
      </c>
      <c r="C141" s="2">
        <f>E131/10</f>
        <v>21</v>
      </c>
      <c r="D141" s="5" t="s">
        <v>1276</v>
      </c>
      <c r="E141" s="2">
        <f>B138/10</f>
        <v>1.8</v>
      </c>
      <c r="F141" s="5" t="s">
        <v>1276</v>
      </c>
      <c r="G141" s="2">
        <f>E129/10</f>
        <v>91.5</v>
      </c>
      <c r="H141" s="2" t="s">
        <v>1261</v>
      </c>
    </row>
    <row r="142" spans="1:2" ht="13.5">
      <c r="A142" s="2" t="s">
        <v>748</v>
      </c>
      <c r="B142" s="2">
        <f>C140*E140</f>
        <v>91.8</v>
      </c>
    </row>
    <row r="143" spans="1:2" ht="13.5">
      <c r="A143" s="2" t="s">
        <v>1306</v>
      </c>
      <c r="B143" s="2">
        <f>C141*E141</f>
        <v>37.800000000000004</v>
      </c>
    </row>
    <row r="144" spans="1:2" ht="13.5">
      <c r="A144" s="2" t="s">
        <v>749</v>
      </c>
      <c r="B144" s="2">
        <f>B142+B143*2</f>
        <v>167.4</v>
      </c>
    </row>
    <row r="145" spans="1:6" ht="13.5">
      <c r="A145" s="2" t="s">
        <v>750</v>
      </c>
      <c r="B145" s="2">
        <f>ROUND(C115*C113/B144,0)</f>
        <v>1284</v>
      </c>
      <c r="C145" s="5" t="str">
        <f>IF(B145&lt;D145,"&lt;","&gt;")</f>
        <v>&lt;</v>
      </c>
      <c r="D145" s="10">
        <f>E105</f>
        <v>1400</v>
      </c>
      <c r="E145" s="2" t="s">
        <v>1425</v>
      </c>
      <c r="F145" s="9" t="str">
        <f>IF(B145&lt;D145,"OK","NG")</f>
        <v>OK</v>
      </c>
    </row>
    <row r="146" ht="13.5">
      <c r="A146" s="2" t="s">
        <v>1426</v>
      </c>
    </row>
    <row r="147" spans="1:4" ht="13.5">
      <c r="A147" s="2" t="s">
        <v>728</v>
      </c>
      <c r="C147" s="7">
        <f>C109</f>
        <v>564.489</v>
      </c>
      <c r="D147" s="2" t="s">
        <v>1319</v>
      </c>
    </row>
    <row r="148" ht="13.5">
      <c r="A148" s="2" t="s">
        <v>752</v>
      </c>
    </row>
    <row r="149" spans="1:5" ht="13.5">
      <c r="A149" s="2" t="s">
        <v>753</v>
      </c>
      <c r="C149" s="2">
        <f>C111</f>
        <v>510</v>
      </c>
      <c r="D149" s="1" t="s">
        <v>1276</v>
      </c>
      <c r="E149" s="2">
        <f>E111</f>
        <v>36</v>
      </c>
    </row>
    <row r="150" spans="1:4" ht="13.5">
      <c r="A150" s="2" t="s">
        <v>726</v>
      </c>
      <c r="C150" s="2">
        <f>C112</f>
        <v>48214</v>
      </c>
      <c r="D150" s="2" t="s">
        <v>1428</v>
      </c>
    </row>
    <row r="151" spans="1:6" ht="13.5">
      <c r="A151" s="2" t="s">
        <v>754</v>
      </c>
      <c r="C151" s="2">
        <f>C113</f>
        <v>183.6</v>
      </c>
      <c r="D151" s="2" t="s">
        <v>1273</v>
      </c>
      <c r="F151" s="5" t="s">
        <v>732</v>
      </c>
    </row>
    <row r="152" spans="1:7" ht="13.5">
      <c r="A152" s="2" t="s">
        <v>724</v>
      </c>
      <c r="C152" s="2">
        <f>ROUND(C147*10^5/C150,0)</f>
        <v>1171</v>
      </c>
      <c r="D152" s="2" t="s">
        <v>1425</v>
      </c>
      <c r="E152" s="5" t="str">
        <f>IF(C152&lt;F152,"&lt;","&gt;")</f>
        <v>&gt;</v>
      </c>
      <c r="F152" s="64">
        <f>1400*0.75</f>
        <v>1050</v>
      </c>
      <c r="G152" s="2" t="s">
        <v>1425</v>
      </c>
    </row>
    <row r="153" spans="1:6" ht="13.5">
      <c r="A153" s="2" t="s">
        <v>729</v>
      </c>
      <c r="C153" s="2">
        <f>IF(C152&lt;F152,F152,C152)</f>
        <v>1171</v>
      </c>
      <c r="E153" s="5"/>
      <c r="F153" s="10"/>
    </row>
    <row r="154" spans="1:3" ht="13.5">
      <c r="A154" s="2" t="s">
        <v>725</v>
      </c>
      <c r="C154" s="2">
        <f>ROUND(C151*C153/B68,1)</f>
        <v>22.4</v>
      </c>
    </row>
    <row r="155" spans="1:4" ht="13.5">
      <c r="A155" s="2" t="s">
        <v>730</v>
      </c>
      <c r="B155" s="64">
        <v>26</v>
      </c>
      <c r="C155" s="2" t="s">
        <v>731</v>
      </c>
      <c r="D155" s="9" t="str">
        <f>IF(C154&lt;B155,"OK","NG")</f>
        <v>OK</v>
      </c>
    </row>
    <row r="156" ht="13.5">
      <c r="A156" s="2" t="s">
        <v>755</v>
      </c>
    </row>
    <row r="157" spans="1:7" ht="13.5">
      <c r="A157" s="2" t="s">
        <v>758</v>
      </c>
      <c r="B157" s="64">
        <v>2.2</v>
      </c>
      <c r="C157" s="5" t="s">
        <v>716</v>
      </c>
      <c r="D157" s="64">
        <v>0.3</v>
      </c>
      <c r="E157" s="2" t="s">
        <v>1261</v>
      </c>
      <c r="F157" s="2">
        <f>B157+D157</f>
        <v>2.5</v>
      </c>
      <c r="G157" s="2" t="s">
        <v>1261</v>
      </c>
    </row>
    <row r="158" spans="2:4" ht="13.5">
      <c r="B158" s="64">
        <f>C69</f>
        <v>4</v>
      </c>
      <c r="C158" s="5" t="s">
        <v>731</v>
      </c>
      <c r="D158" s="10"/>
    </row>
    <row r="159" spans="1:3" ht="13.5">
      <c r="A159" s="2" t="s">
        <v>756</v>
      </c>
      <c r="B159" s="2">
        <f>F157*B158</f>
        <v>10</v>
      </c>
      <c r="C159" s="2" t="s">
        <v>1263</v>
      </c>
    </row>
    <row r="160" spans="1:6" ht="13.5">
      <c r="A160" s="4" t="s">
        <v>757</v>
      </c>
      <c r="B160" s="5">
        <f>B159</f>
        <v>10</v>
      </c>
      <c r="C160" s="5" t="s">
        <v>759</v>
      </c>
      <c r="D160" s="2">
        <f>E149/10</f>
        <v>3.6</v>
      </c>
      <c r="E160" s="5" t="s">
        <v>988</v>
      </c>
      <c r="F160" s="2" t="s">
        <v>1268</v>
      </c>
    </row>
    <row r="161" spans="1:3" ht="13.5">
      <c r="A161" s="2" t="s">
        <v>760</v>
      </c>
      <c r="B161" s="2">
        <f>C151-B160*D160-IF(B191&lt;D191,0,B191)-IF(B194&lt;D194,0,B194)</f>
        <v>147.6</v>
      </c>
      <c r="C161" s="2" t="s">
        <v>1273</v>
      </c>
    </row>
    <row r="162" ht="13.5">
      <c r="A162" s="2" t="s">
        <v>761</v>
      </c>
    </row>
    <row r="163" spans="1:6" ht="13.5">
      <c r="A163" s="2">
        <f>ROUND(C153*C151/B161,0)</f>
        <v>1457</v>
      </c>
      <c r="B163" s="2" t="s">
        <v>1425</v>
      </c>
      <c r="C163" s="5" t="str">
        <f>IF(A163&lt;D163,"&lt;","&gt;")</f>
        <v>&gt;</v>
      </c>
      <c r="D163" s="64">
        <f>E105</f>
        <v>1400</v>
      </c>
      <c r="E163" s="2" t="s">
        <v>1425</v>
      </c>
      <c r="F163" s="9" t="str">
        <f>IF(A163&lt;D163,"OK","NG")</f>
        <v>NG</v>
      </c>
    </row>
    <row r="164" spans="1:8" ht="13.5">
      <c r="A164" s="10" t="s">
        <v>741</v>
      </c>
      <c r="B164" s="10"/>
      <c r="C164" s="10"/>
      <c r="D164" s="10"/>
      <c r="E164" s="10"/>
      <c r="F164" s="10"/>
      <c r="G164" s="10"/>
      <c r="H164" s="10"/>
    </row>
    <row r="165" spans="1:7" ht="13.5">
      <c r="A165" s="10" t="s">
        <v>733</v>
      </c>
      <c r="B165" s="10">
        <f>B119</f>
        <v>510</v>
      </c>
      <c r="C165" s="10" t="s">
        <v>1450</v>
      </c>
      <c r="D165" s="10"/>
      <c r="E165" s="10"/>
      <c r="F165" s="10"/>
      <c r="G165" s="10"/>
    </row>
    <row r="166" spans="1:3" ht="13.5">
      <c r="A166" s="2" t="s">
        <v>1301</v>
      </c>
      <c r="B166" s="8">
        <v>40</v>
      </c>
      <c r="C166" s="2" t="s">
        <v>1450</v>
      </c>
    </row>
    <row r="167" spans="1:3" ht="13.5">
      <c r="A167" s="2" t="s">
        <v>1302</v>
      </c>
      <c r="B167" s="64">
        <v>75</v>
      </c>
      <c r="C167" s="2" t="s">
        <v>1450</v>
      </c>
    </row>
    <row r="168" spans="1:7" ht="13.5">
      <c r="A168" s="2" t="s">
        <v>1303</v>
      </c>
      <c r="B168" s="64">
        <v>75</v>
      </c>
      <c r="C168" s="2" t="s">
        <v>1450</v>
      </c>
      <c r="D168" s="5"/>
      <c r="E168" s="10"/>
      <c r="F168" s="10"/>
      <c r="G168" s="10"/>
    </row>
    <row r="169" spans="1:7" ht="13.5">
      <c r="A169" s="2" t="s">
        <v>1304</v>
      </c>
      <c r="B169" s="2">
        <f>B165-B166*2-B167*2-B168*2</f>
        <v>130</v>
      </c>
      <c r="C169" s="2" t="s">
        <v>1450</v>
      </c>
      <c r="D169" s="5" t="str">
        <f>IF(B169&gt;=E169,"≧","&lt;")</f>
        <v>≧</v>
      </c>
      <c r="E169" s="64">
        <v>130</v>
      </c>
      <c r="F169" s="2" t="s">
        <v>1450</v>
      </c>
      <c r="G169" s="9" t="str">
        <f>IF(B169&gt;=E169,"OK","NG")</f>
        <v>OK</v>
      </c>
    </row>
    <row r="170" ht="13.5">
      <c r="A170" s="2" t="s">
        <v>734</v>
      </c>
    </row>
    <row r="171" spans="1:3" ht="13.5">
      <c r="A171" s="2" t="s">
        <v>735</v>
      </c>
      <c r="B171" s="8">
        <v>40</v>
      </c>
      <c r="C171" s="2" t="s">
        <v>1450</v>
      </c>
    </row>
    <row r="172" spans="1:2" ht="13.5">
      <c r="A172" s="2" t="s">
        <v>736</v>
      </c>
      <c r="B172" s="8">
        <v>75</v>
      </c>
    </row>
    <row r="173" spans="1:3" ht="13.5">
      <c r="A173" s="2" t="s">
        <v>762</v>
      </c>
      <c r="B173" s="2">
        <v>75</v>
      </c>
      <c r="C173" s="2" t="s">
        <v>1450</v>
      </c>
    </row>
    <row r="174" spans="1:2" ht="13.5">
      <c r="A174" s="2" t="s">
        <v>739</v>
      </c>
      <c r="B174" s="64">
        <v>3</v>
      </c>
    </row>
    <row r="175" spans="1:3" ht="13.5">
      <c r="A175" s="2" t="s">
        <v>763</v>
      </c>
      <c r="B175" s="2">
        <f>B173*B174</f>
        <v>225</v>
      </c>
      <c r="C175" s="2" t="s">
        <v>1450</v>
      </c>
    </row>
    <row r="176" spans="1:3" ht="13.5">
      <c r="A176" s="2" t="s">
        <v>738</v>
      </c>
      <c r="B176" s="64">
        <v>85</v>
      </c>
      <c r="C176" s="2" t="s">
        <v>1450</v>
      </c>
    </row>
    <row r="177" spans="1:6" ht="13.5">
      <c r="A177" s="2" t="s">
        <v>740</v>
      </c>
      <c r="B177" s="2">
        <f>B171+B172+B175+B176/2</f>
        <v>382.5</v>
      </c>
      <c r="C177" s="2" t="s">
        <v>1450</v>
      </c>
      <c r="D177" s="2" t="s">
        <v>751</v>
      </c>
      <c r="E177" s="2">
        <f>B177*2</f>
        <v>765</v>
      </c>
      <c r="F177" s="2" t="s">
        <v>1450</v>
      </c>
    </row>
    <row r="178" ht="13.5">
      <c r="A178" s="2" t="s">
        <v>742</v>
      </c>
    </row>
    <row r="179" spans="1:5" ht="13.5">
      <c r="A179" s="2" t="s">
        <v>743</v>
      </c>
      <c r="B179" s="2">
        <f>B166</f>
        <v>40</v>
      </c>
      <c r="D179" s="2" t="s">
        <v>735</v>
      </c>
      <c r="E179" s="2">
        <f>B179+B180+B181</f>
        <v>230</v>
      </c>
    </row>
    <row r="180" spans="1:5" ht="13.5">
      <c r="A180" s="2" t="s">
        <v>744</v>
      </c>
      <c r="B180" s="2">
        <f>B167+B168</f>
        <v>150</v>
      </c>
      <c r="D180" s="2" t="s">
        <v>1320</v>
      </c>
      <c r="E180" s="64">
        <f>'主桁'!D408</f>
        <v>10</v>
      </c>
    </row>
    <row r="181" spans="1:2" ht="13.5">
      <c r="A181" s="2" t="s">
        <v>745</v>
      </c>
      <c r="B181" s="8">
        <v>40</v>
      </c>
    </row>
    <row r="182" spans="1:2" ht="13.5">
      <c r="A182" s="2" t="s">
        <v>746</v>
      </c>
      <c r="B182" s="10">
        <f>B169-B181*2</f>
        <v>50</v>
      </c>
    </row>
    <row r="183" ht="13.5">
      <c r="A183" s="2" t="s">
        <v>734</v>
      </c>
    </row>
    <row r="184" spans="1:2" ht="13.5">
      <c r="A184" s="2">
        <v>1</v>
      </c>
      <c r="B184" s="64">
        <v>22</v>
      </c>
    </row>
    <row r="185" spans="1:2" ht="13.5">
      <c r="A185" s="2">
        <v>2</v>
      </c>
      <c r="B185" s="2">
        <f>E149</f>
        <v>36</v>
      </c>
    </row>
    <row r="186" spans="1:2" ht="13.5">
      <c r="A186" s="2">
        <v>3</v>
      </c>
      <c r="B186" s="12">
        <f>B184</f>
        <v>22</v>
      </c>
    </row>
    <row r="187" spans="1:9" ht="13.5">
      <c r="A187" s="10" t="s">
        <v>1317</v>
      </c>
      <c r="B187" s="10"/>
      <c r="C187" s="10"/>
      <c r="D187" s="10"/>
      <c r="E187" s="10" t="s">
        <v>1340</v>
      </c>
      <c r="F187" s="10">
        <f>(B189+B192)/(B190+B193)</f>
        <v>0.5</v>
      </c>
      <c r="G187" s="10">
        <f>B171+B172+B173-40</f>
        <v>150</v>
      </c>
      <c r="H187" s="10"/>
      <c r="I187" s="10"/>
    </row>
    <row r="188" spans="1:8" ht="13.5">
      <c r="A188" s="2" t="s">
        <v>978</v>
      </c>
      <c r="B188" s="10">
        <f>F157</f>
        <v>2.5</v>
      </c>
      <c r="E188" s="2" t="s">
        <v>1339</v>
      </c>
      <c r="F188" s="2">
        <f>ATAN(F187)</f>
        <v>0.4636476090008061</v>
      </c>
      <c r="G188" s="2">
        <f>G187*F187</f>
        <v>75</v>
      </c>
      <c r="H188" s="2">
        <f>B166+B167+B168-40</f>
        <v>150</v>
      </c>
    </row>
    <row r="189" spans="1:2" ht="13.5">
      <c r="A189" s="2" t="s">
        <v>1313</v>
      </c>
      <c r="B189" s="10">
        <f>B167/10/2</f>
        <v>3.75</v>
      </c>
    </row>
    <row r="190" spans="1:2" ht="13.5">
      <c r="A190" s="2" t="s">
        <v>1314</v>
      </c>
      <c r="B190" s="10">
        <f>B172/10</f>
        <v>7.5</v>
      </c>
    </row>
    <row r="191" spans="2:5" ht="13.5">
      <c r="B191" s="10">
        <f>ROUND(B188-B190^2/4/B189,3)</f>
        <v>-1.25</v>
      </c>
      <c r="C191" s="5" t="str">
        <f>IF(B191&lt;D191,"&lt;","&gt;")</f>
        <v>&lt;</v>
      </c>
      <c r="D191" s="2">
        <f>ABS(B191)</f>
        <v>1.25</v>
      </c>
      <c r="E191" s="9" t="str">
        <f>IF(B191&lt;D191,"OK","NG")</f>
        <v>OK</v>
      </c>
    </row>
    <row r="192" spans="1:9" ht="13.5">
      <c r="A192" s="10" t="s">
        <v>1315</v>
      </c>
      <c r="B192" s="10">
        <f>B173/10/2</f>
        <v>3.75</v>
      </c>
      <c r="C192" s="11"/>
      <c r="D192" s="10"/>
      <c r="E192" s="10"/>
      <c r="F192" s="10"/>
      <c r="G192" s="10"/>
      <c r="H192" s="10"/>
      <c r="I192" s="10"/>
    </row>
    <row r="193" spans="1:9" ht="13.5">
      <c r="A193" s="10" t="s">
        <v>1316</v>
      </c>
      <c r="B193" s="10">
        <f>B190</f>
        <v>7.5</v>
      </c>
      <c r="C193" s="11"/>
      <c r="D193" s="10"/>
      <c r="E193" s="10"/>
      <c r="F193" s="10"/>
      <c r="G193" s="10"/>
      <c r="H193" s="10"/>
      <c r="I193" s="10"/>
    </row>
    <row r="194" spans="1:9" ht="13.5">
      <c r="A194" s="10"/>
      <c r="B194" s="10">
        <f>ROUND(B188-B190^2/4/B192,3)</f>
        <v>-1.25</v>
      </c>
      <c r="C194" s="5" t="str">
        <f>IF(B194&lt;D194,"&lt;","&gt;")</f>
        <v>&lt;</v>
      </c>
      <c r="D194" s="2">
        <f>ABS(B194)</f>
        <v>1.25</v>
      </c>
      <c r="E194" s="9" t="str">
        <f>IF(B194&lt;D194,"OK","NG")</f>
        <v>OK</v>
      </c>
      <c r="F194" s="10"/>
      <c r="G194" s="10"/>
      <c r="H194" s="10"/>
      <c r="I194" s="10"/>
    </row>
    <row r="195" spans="1:9" ht="13.5">
      <c r="A195" s="10"/>
      <c r="B195" s="10"/>
      <c r="C195" s="11"/>
      <c r="D195" s="10"/>
      <c r="E195" s="10"/>
      <c r="F195" s="10"/>
      <c r="G195" s="10"/>
      <c r="H195" s="10"/>
      <c r="I195" s="10"/>
    </row>
    <row r="196" ht="13.5">
      <c r="A196" s="2" t="s">
        <v>747</v>
      </c>
    </row>
    <row r="197" spans="1:8" ht="13.5">
      <c r="A197" s="64">
        <v>1</v>
      </c>
      <c r="B197" s="5" t="s">
        <v>1276</v>
      </c>
      <c r="C197" s="2">
        <f>B165/10</f>
        <v>51</v>
      </c>
      <c r="D197" s="5" t="s">
        <v>1276</v>
      </c>
      <c r="E197" s="2">
        <f>B184/10</f>
        <v>2.2</v>
      </c>
      <c r="F197" s="5" t="s">
        <v>1276</v>
      </c>
      <c r="G197" s="2">
        <f>E177/10</f>
        <v>76.5</v>
      </c>
      <c r="H197" s="2" t="s">
        <v>1261</v>
      </c>
    </row>
    <row r="198" spans="1:8" ht="13.5">
      <c r="A198" s="64">
        <v>2</v>
      </c>
      <c r="B198" s="5" t="s">
        <v>1276</v>
      </c>
      <c r="C198" s="2">
        <f>E179/10</f>
        <v>23</v>
      </c>
      <c r="D198" s="5" t="s">
        <v>1276</v>
      </c>
      <c r="E198" s="2">
        <f>B186/10</f>
        <v>2.2</v>
      </c>
      <c r="F198" s="5" t="s">
        <v>1276</v>
      </c>
      <c r="G198" s="2">
        <f>E177/10</f>
        <v>76.5</v>
      </c>
      <c r="H198" s="2" t="s">
        <v>1261</v>
      </c>
    </row>
    <row r="199" spans="1:2" ht="13.5">
      <c r="A199" s="2" t="s">
        <v>748</v>
      </c>
      <c r="B199" s="2">
        <f>C197*E197-B160*B184/10</f>
        <v>90.2</v>
      </c>
    </row>
    <row r="200" spans="1:2" ht="13.5">
      <c r="A200" s="2" t="s">
        <v>1306</v>
      </c>
      <c r="B200" s="2">
        <f>C198*E198-F157*B158/2*B186/10</f>
        <v>39.6</v>
      </c>
    </row>
    <row r="201" spans="1:2" ht="13.5">
      <c r="A201" s="2" t="s">
        <v>749</v>
      </c>
      <c r="B201" s="2">
        <f>B199+B200*2</f>
        <v>169.4</v>
      </c>
    </row>
    <row r="202" spans="1:6" ht="13.5">
      <c r="A202" s="2" t="s">
        <v>750</v>
      </c>
      <c r="B202" s="2">
        <f>ROUND(C153*C151/B201,0)</f>
        <v>1269</v>
      </c>
      <c r="C202" s="5" t="str">
        <f>IF(B202&lt;D202,"&lt;","&gt;")</f>
        <v>&lt;</v>
      </c>
      <c r="D202" s="10">
        <f>E105</f>
        <v>1400</v>
      </c>
      <c r="E202" s="2" t="s">
        <v>1425</v>
      </c>
      <c r="F202" s="9" t="str">
        <f>IF(B202&lt;D202,"OK","NG")</f>
        <v>OK</v>
      </c>
    </row>
  </sheetData>
  <sheetProtection password="AF41" sheet="1" objects="1" scenarios="1"/>
  <printOptions horizontalCentered="1"/>
  <pageMargins left="0.7874015748031497" right="0.7874015748031497" top="0.984251968503937" bottom="0.984251968503937" header="0.5118110236220472" footer="0.5118110236220472"/>
  <pageSetup horizontalDpi="600" verticalDpi="600" orientation="portrait" paperSize="9" scale="87" r:id="rId1"/>
  <rowBreaks count="4" manualBreakCount="4">
    <brk id="21" max="255" man="1"/>
    <brk id="63" max="255" man="1"/>
    <brk id="106" max="255" man="1"/>
    <brk id="145" max="255" man="1"/>
  </rowBreaks>
</worksheet>
</file>

<file path=xl/worksheets/sheet6.xml><?xml version="1.0" encoding="utf-8"?>
<worksheet xmlns="http://schemas.openxmlformats.org/spreadsheetml/2006/main" xmlns:r="http://schemas.openxmlformats.org/officeDocument/2006/relationships">
  <sheetPr codeName="Sheet6"/>
  <dimension ref="A1:J172"/>
  <sheetViews>
    <sheetView zoomScale="80" zoomScaleNormal="80" zoomScalePageLayoutView="0" workbookViewId="0" topLeftCell="A1">
      <selection activeCell="K49" sqref="K49"/>
    </sheetView>
  </sheetViews>
  <sheetFormatPr defaultColWidth="9.00390625" defaultRowHeight="13.5"/>
  <cols>
    <col min="1" max="1" width="20.25390625" style="2" customWidth="1"/>
    <col min="2" max="4" width="9.00390625" style="2" customWidth="1"/>
    <col min="5" max="5" width="7.75390625" style="2" customWidth="1"/>
    <col min="6" max="6" width="11.125" style="2" customWidth="1"/>
    <col min="7" max="7" width="6.875" style="2" customWidth="1"/>
    <col min="8" max="8" width="8.50390625" style="2" customWidth="1"/>
    <col min="9" max="16384" width="9.00390625" style="2" customWidth="1"/>
  </cols>
  <sheetData>
    <row r="1" ht="12">
      <c r="A1" s="2" t="s">
        <v>764</v>
      </c>
    </row>
    <row r="2" ht="12">
      <c r="A2" s="2" t="s">
        <v>766</v>
      </c>
    </row>
    <row r="3" ht="12">
      <c r="A3" s="2" t="s">
        <v>767</v>
      </c>
    </row>
    <row r="4" ht="12">
      <c r="A4" s="2" t="s">
        <v>768</v>
      </c>
    </row>
    <row r="5" ht="12">
      <c r="A5" s="3" t="s">
        <v>769</v>
      </c>
    </row>
    <row r="6" spans="1:8" ht="12">
      <c r="A6" s="10" t="s">
        <v>1270</v>
      </c>
      <c r="D6" s="64">
        <f>'床版'!B119</f>
        <v>10</v>
      </c>
      <c r="E6" s="2" t="s">
        <v>1299</v>
      </c>
      <c r="H6" s="2" t="s">
        <v>1431</v>
      </c>
    </row>
    <row r="7" spans="1:10" ht="12">
      <c r="A7" s="10" t="s">
        <v>783</v>
      </c>
      <c r="D7" s="2">
        <f>'床版'!C12/2</f>
        <v>1.15</v>
      </c>
      <c r="E7" s="2" t="s">
        <v>1265</v>
      </c>
      <c r="F7" s="2">
        <f>D7*1000</f>
        <v>1150</v>
      </c>
      <c r="G7" s="2" t="s">
        <v>1264</v>
      </c>
      <c r="H7" s="2">
        <f>F7/2</f>
        <v>575</v>
      </c>
      <c r="I7" s="2" t="s">
        <v>1264</v>
      </c>
      <c r="J7" s="2">
        <f>SUM(D8:D10)</f>
        <v>2200</v>
      </c>
    </row>
    <row r="8" spans="1:5" ht="12">
      <c r="A8" s="10" t="s">
        <v>1432</v>
      </c>
      <c r="D8" s="2">
        <f>'主桁'!H304*10-'対傾構'!D9-'対傾構'!D10</f>
        <v>1900</v>
      </c>
      <c r="E8" s="2" t="s">
        <v>1264</v>
      </c>
    </row>
    <row r="9" spans="1:6" ht="12">
      <c r="A9" s="10"/>
      <c r="D9" s="64">
        <v>100</v>
      </c>
      <c r="E9" s="2" t="s">
        <v>1264</v>
      </c>
      <c r="F9" s="2" t="s">
        <v>1010</v>
      </c>
    </row>
    <row r="10" spans="1:6" ht="12">
      <c r="A10" s="10"/>
      <c r="D10" s="64">
        <v>200</v>
      </c>
      <c r="E10" s="2" t="s">
        <v>1264</v>
      </c>
      <c r="F10" s="2" t="s">
        <v>1430</v>
      </c>
    </row>
    <row r="11" spans="1:5" ht="12">
      <c r="A11" s="2" t="s">
        <v>770</v>
      </c>
      <c r="C11" s="2" t="s">
        <v>782</v>
      </c>
      <c r="D11" s="2">
        <f>ROUND(D6*D7/4,3)</f>
        <v>2.875</v>
      </c>
      <c r="E11" s="2" t="s">
        <v>1180</v>
      </c>
    </row>
    <row r="12" spans="1:4" ht="12">
      <c r="A12" s="2" t="s">
        <v>771</v>
      </c>
      <c r="C12" s="2" t="s">
        <v>1178</v>
      </c>
      <c r="D12" s="2">
        <f>ROUND(20/(50+D7),3)</f>
        <v>0.391</v>
      </c>
    </row>
    <row r="13" spans="1:5" ht="12">
      <c r="A13" s="2" t="s">
        <v>772</v>
      </c>
      <c r="C13" s="2" t="s">
        <v>1179</v>
      </c>
      <c r="D13" s="2">
        <f>ROUND(D11*D12,3)</f>
        <v>1.124</v>
      </c>
      <c r="E13" s="2" t="s">
        <v>1180</v>
      </c>
    </row>
    <row r="14" spans="1:5" ht="12">
      <c r="A14" s="2" t="s">
        <v>773</v>
      </c>
      <c r="D14" s="2">
        <f>D11+D13</f>
        <v>3.999</v>
      </c>
      <c r="E14" s="2" t="s">
        <v>1180</v>
      </c>
    </row>
    <row r="15" ht="12">
      <c r="A15" s="2" t="s">
        <v>774</v>
      </c>
    </row>
    <row r="16" spans="1:2" ht="12">
      <c r="A16" s="2" t="s">
        <v>781</v>
      </c>
      <c r="B16" s="2">
        <f>'床版'!I19*2+'床版'!C8</f>
        <v>8.2</v>
      </c>
    </row>
    <row r="17" spans="1:2" ht="12">
      <c r="A17" s="2" t="s">
        <v>1300</v>
      </c>
      <c r="B17" s="2">
        <f>'床版'!F13+'床版'!A47/1000+'床版'!C39/100+'主桁'!H304/100+1.1</f>
        <v>3.6340000000000003</v>
      </c>
    </row>
    <row r="18" spans="1:4" ht="12">
      <c r="A18" s="2" t="s">
        <v>775</v>
      </c>
      <c r="B18" s="9">
        <f>ROUND(B16/B17,3)</f>
        <v>2.256</v>
      </c>
      <c r="C18" s="5" t="str">
        <f>IF(B18&lt;D18,"&lt;","&gt;")</f>
        <v>&lt;</v>
      </c>
      <c r="D18" s="8">
        <v>8</v>
      </c>
    </row>
    <row r="19" spans="1:2" ht="12">
      <c r="A19" s="2" t="s">
        <v>776</v>
      </c>
      <c r="B19" s="2" t="s">
        <v>1461</v>
      </c>
    </row>
    <row r="20" spans="1:6" ht="12">
      <c r="A20" s="12">
        <f>ROUND(IF(B18&lt;D18,(400-20*(B16/B17))*B17,240*B17),0)</f>
        <v>1290</v>
      </c>
      <c r="B20" s="2" t="s">
        <v>1181</v>
      </c>
      <c r="C20" s="5" t="str">
        <f>IF(A20&lt;D20,"&lt;","&gt;")</f>
        <v>&gt;</v>
      </c>
      <c r="D20" s="8">
        <v>600</v>
      </c>
      <c r="E20" s="2" t="s">
        <v>1182</v>
      </c>
      <c r="F20" s="9" t="str">
        <f>IF(A20&gt;D20,"OK","NG")</f>
        <v>OK</v>
      </c>
    </row>
    <row r="21" ht="12">
      <c r="A21" s="2" t="s">
        <v>777</v>
      </c>
    </row>
    <row r="22" spans="1:2" ht="12">
      <c r="A22" s="2" t="s">
        <v>778</v>
      </c>
      <c r="B22" s="2">
        <f>A20*B23/(2*E24)</f>
        <v>17737.5</v>
      </c>
    </row>
    <row r="23" spans="1:2" ht="12">
      <c r="A23" s="2" t="s">
        <v>779</v>
      </c>
      <c r="B23" s="2">
        <f>'床版'!C6</f>
        <v>33</v>
      </c>
    </row>
    <row r="24" spans="1:5" ht="12">
      <c r="A24" s="2" t="s">
        <v>780</v>
      </c>
      <c r="E24" s="8">
        <v>1.2</v>
      </c>
    </row>
    <row r="25" ht="12">
      <c r="A25" s="2" t="s">
        <v>1183</v>
      </c>
    </row>
    <row r="26" spans="1:6" ht="12">
      <c r="A26" s="2" t="s">
        <v>1190</v>
      </c>
      <c r="E26" s="2">
        <f>E29*E27+E28*E30</f>
        <v>9.021999999999998</v>
      </c>
      <c r="F26" s="2" t="s">
        <v>1285</v>
      </c>
    </row>
    <row r="27" spans="1:6" ht="12">
      <c r="A27" s="2" t="s">
        <v>1184</v>
      </c>
      <c r="E27" s="2">
        <f>'主桁'!B33</f>
        <v>2.073</v>
      </c>
      <c r="F27" s="2" t="s">
        <v>1285</v>
      </c>
    </row>
    <row r="28" spans="1:6" ht="12">
      <c r="A28" s="2" t="s">
        <v>1185</v>
      </c>
      <c r="E28" s="2">
        <f>'主桁'!B72</f>
        <v>2.4379999999999997</v>
      </c>
      <c r="F28" s="2" t="s">
        <v>1285</v>
      </c>
    </row>
    <row r="29" spans="1:6" ht="12">
      <c r="A29" s="2" t="s">
        <v>1186</v>
      </c>
      <c r="E29" s="12">
        <f>'主桁'!E535</f>
        <v>2</v>
      </c>
      <c r="F29" s="2" t="s">
        <v>1260</v>
      </c>
    </row>
    <row r="30" spans="1:6" ht="12">
      <c r="A30" s="2" t="s">
        <v>1187</v>
      </c>
      <c r="E30" s="2">
        <f>'床版'!C10-'対傾構'!E29</f>
        <v>2</v>
      </c>
      <c r="F30" s="2" t="s">
        <v>1260</v>
      </c>
    </row>
    <row r="31" ht="12">
      <c r="A31" s="2" t="s">
        <v>765</v>
      </c>
    </row>
    <row r="32" spans="1:8" ht="12">
      <c r="A32" s="2" t="s">
        <v>1191</v>
      </c>
      <c r="E32" s="2">
        <f>ROUND(E26*B23/(2*E33)*E34,3)</f>
        <v>14.886</v>
      </c>
      <c r="F32" s="2" t="s">
        <v>1299</v>
      </c>
      <c r="G32" s="2">
        <f>E32*10^3</f>
        <v>14886</v>
      </c>
      <c r="H32" s="2" t="s">
        <v>1192</v>
      </c>
    </row>
    <row r="33" spans="1:5" ht="12">
      <c r="A33" s="2" t="s">
        <v>1188</v>
      </c>
      <c r="E33" s="64">
        <v>1.5</v>
      </c>
    </row>
    <row r="34" spans="1:5" ht="12">
      <c r="A34" s="2" t="s">
        <v>1189</v>
      </c>
      <c r="E34" s="64">
        <f>0.15</f>
        <v>0.15</v>
      </c>
    </row>
    <row r="35" spans="1:4" ht="12">
      <c r="A35" s="2" t="s">
        <v>1194</v>
      </c>
      <c r="C35" s="5" t="str">
        <f>IF(B22&gt;G32,"風荷重","地震荷重")</f>
        <v>風荷重</v>
      </c>
      <c r="D35" s="2" t="s">
        <v>1193</v>
      </c>
    </row>
    <row r="36" spans="1:4" ht="12">
      <c r="A36" s="2" t="s">
        <v>1195</v>
      </c>
      <c r="C36" s="2">
        <f>IF(B22&gt;G32,B22,G32)</f>
        <v>17737.5</v>
      </c>
      <c r="D36" s="2" t="s">
        <v>1192</v>
      </c>
    </row>
    <row r="37" spans="1:3" ht="12">
      <c r="A37" s="2" t="s">
        <v>1196</v>
      </c>
      <c r="B37" s="2">
        <f>'床版'!C10-1</f>
        <v>3</v>
      </c>
      <c r="C37" s="2" t="s">
        <v>1197</v>
      </c>
    </row>
    <row r="38" spans="1:3" ht="12">
      <c r="A38" s="4" t="s">
        <v>1198</v>
      </c>
      <c r="B38" s="17">
        <f>B37</f>
        <v>3</v>
      </c>
      <c r="C38" s="2" t="s">
        <v>1199</v>
      </c>
    </row>
    <row r="39" spans="1:4" ht="12">
      <c r="A39" s="4" t="s">
        <v>1200</v>
      </c>
      <c r="B39" s="17">
        <f>B38</f>
        <v>3</v>
      </c>
      <c r="C39" s="2">
        <f>C36/B38</f>
        <v>5912.5</v>
      </c>
      <c r="D39" s="2" t="s">
        <v>1192</v>
      </c>
    </row>
    <row r="40" ht="12">
      <c r="A40" s="2" t="s">
        <v>1201</v>
      </c>
    </row>
    <row r="41" spans="1:9" ht="12">
      <c r="A41" s="3" t="s">
        <v>1202</v>
      </c>
      <c r="B41" s="10"/>
      <c r="C41" s="10"/>
      <c r="D41" s="10"/>
      <c r="E41" s="10"/>
      <c r="F41" s="10"/>
      <c r="G41" s="10"/>
      <c r="H41" s="10"/>
      <c r="I41" s="10"/>
    </row>
    <row r="42" spans="1:9" ht="12">
      <c r="A42" s="64">
        <v>1</v>
      </c>
      <c r="B42" s="17" t="s">
        <v>37</v>
      </c>
      <c r="C42" s="64">
        <v>300</v>
      </c>
      <c r="D42" s="68" t="s">
        <v>1266</v>
      </c>
      <c r="E42" s="64">
        <v>90</v>
      </c>
      <c r="F42" s="68" t="s">
        <v>1266</v>
      </c>
      <c r="G42" s="64">
        <v>36</v>
      </c>
      <c r="H42" s="68" t="s">
        <v>1266</v>
      </c>
      <c r="I42" s="64">
        <v>36</v>
      </c>
    </row>
    <row r="43" spans="1:4" ht="12">
      <c r="A43" s="2" t="s">
        <v>1205</v>
      </c>
      <c r="C43" s="64">
        <v>61.9</v>
      </c>
      <c r="D43" s="2" t="s">
        <v>1277</v>
      </c>
    </row>
    <row r="44" spans="1:4" ht="12">
      <c r="A44" s="2" t="s">
        <v>1204</v>
      </c>
      <c r="C44" s="64">
        <v>525</v>
      </c>
      <c r="D44" s="2" t="s">
        <v>1298</v>
      </c>
    </row>
    <row r="45" spans="1:3" ht="12">
      <c r="A45" s="2" t="s">
        <v>1203</v>
      </c>
      <c r="C45" s="64">
        <v>2.51</v>
      </c>
    </row>
    <row r="46" spans="1:3" ht="12">
      <c r="A46" s="2" t="s">
        <v>1207</v>
      </c>
      <c r="C46" s="10">
        <f>D14*10^5</f>
        <v>399900</v>
      </c>
    </row>
    <row r="47" spans="1:8" ht="12">
      <c r="A47" s="2" t="s">
        <v>1206</v>
      </c>
      <c r="C47" s="10">
        <f>ROUND(C46/C44,0)</f>
        <v>762</v>
      </c>
      <c r="D47" s="2" t="s">
        <v>1279</v>
      </c>
      <c r="E47" s="5" t="str">
        <f>IF(C47&lt;F47,"&lt;","&gt;")</f>
        <v>&lt;</v>
      </c>
      <c r="F47" s="12">
        <f>'主桁'!E303</f>
        <v>1400</v>
      </c>
      <c r="G47" s="2" t="s">
        <v>1279</v>
      </c>
      <c r="H47" s="9" t="str">
        <f>IF(C47&lt;F47,"OK","NG")</f>
        <v>OK</v>
      </c>
    </row>
    <row r="49" ht="12">
      <c r="A49" s="2" t="s">
        <v>1208</v>
      </c>
    </row>
    <row r="50" spans="1:7" ht="12">
      <c r="A50" s="2" t="s">
        <v>1209</v>
      </c>
      <c r="G50" s="2">
        <f>B23/D7</f>
        <v>28.695652173913047</v>
      </c>
    </row>
    <row r="51" spans="1:7" ht="12">
      <c r="A51" s="2" t="s">
        <v>1210</v>
      </c>
      <c r="B51" s="10">
        <f>'床版'!C12*100</f>
        <v>229.99999999999997</v>
      </c>
      <c r="C51" s="2" t="s">
        <v>1211</v>
      </c>
      <c r="G51" s="2">
        <f>28.2/12.25</f>
        <v>2.3020408163265307</v>
      </c>
    </row>
    <row r="52" spans="1:7" ht="12">
      <c r="A52" s="2" t="s">
        <v>1212</v>
      </c>
      <c r="B52" s="2">
        <f>ROUND(B51/C45,0)</f>
        <v>92</v>
      </c>
      <c r="C52" s="5" t="str">
        <f>IF(B52&lt;F52,"&lt;","&gt;")</f>
        <v>&lt;</v>
      </c>
      <c r="D52" s="2" t="s">
        <v>1213</v>
      </c>
      <c r="F52" s="8">
        <v>150</v>
      </c>
      <c r="G52" s="2" t="s">
        <v>1226</v>
      </c>
    </row>
    <row r="53" spans="1:7" ht="12">
      <c r="A53" s="2" t="s">
        <v>1224</v>
      </c>
      <c r="G53" s="2" t="s">
        <v>1227</v>
      </c>
    </row>
    <row r="54" spans="1:4" ht="12">
      <c r="A54" s="2" t="s">
        <v>1225</v>
      </c>
      <c r="B54" s="10">
        <f>ROUND(B51/C45,0)</f>
        <v>92</v>
      </c>
      <c r="C54" s="5" t="str">
        <f>IF(B54&gt;D54,"&gt;","&lt;")</f>
        <v>&lt;</v>
      </c>
      <c r="D54" s="8">
        <v>93</v>
      </c>
    </row>
    <row r="55" spans="1:3" ht="12">
      <c r="A55" s="2" t="s">
        <v>1228</v>
      </c>
      <c r="B55" s="2">
        <f>IF(B54&gt;D54,ROUND(12*10^6/(6700+(B54)^2),0),IF(B54&gt;20,ROUND(1400-8.4*(B54-20),0),1400))</f>
        <v>795</v>
      </c>
      <c r="C55" s="2" t="s">
        <v>1279</v>
      </c>
    </row>
    <row r="56" ht="12">
      <c r="A56" s="2" t="s">
        <v>1229</v>
      </c>
    </row>
    <row r="57" spans="1:6" ht="12">
      <c r="A57" s="2">
        <f>ROUND(C39/C43,0)</f>
        <v>96</v>
      </c>
      <c r="B57" s="2" t="s">
        <v>1279</v>
      </c>
      <c r="C57" s="5" t="str">
        <f>IF(A57&lt;D57,"&lt;","&gt;")</f>
        <v>&lt;</v>
      </c>
      <c r="D57" s="2">
        <f>B55</f>
        <v>795</v>
      </c>
      <c r="E57" s="2" t="s">
        <v>1279</v>
      </c>
      <c r="F57" s="9" t="str">
        <f>IF(A57&lt;D57,"OK","NG")</f>
        <v>OK</v>
      </c>
    </row>
    <row r="58" ht="12">
      <c r="A58" s="2" t="s">
        <v>1231</v>
      </c>
    </row>
    <row r="59" spans="5:8" ht="12">
      <c r="E59" s="2" t="s">
        <v>1233</v>
      </c>
      <c r="G59" s="8">
        <v>1.25</v>
      </c>
      <c r="H59" s="2" t="s">
        <v>1234</v>
      </c>
    </row>
    <row r="60" spans="1:7" ht="12">
      <c r="A60" s="2" t="s">
        <v>1232</v>
      </c>
      <c r="B60" s="2">
        <f>C47+A57</f>
        <v>858</v>
      </c>
      <c r="C60" s="2" t="s">
        <v>1279</v>
      </c>
      <c r="D60" s="5" t="str">
        <f>IF(B60&lt;E60,"&lt;","&gt;")</f>
        <v>&lt;</v>
      </c>
      <c r="E60" s="2">
        <f>'主桁'!E303*G59</f>
        <v>1750</v>
      </c>
      <c r="F60" s="2" t="s">
        <v>1279</v>
      </c>
      <c r="G60" s="9" t="str">
        <f>IF(B60&lt;E60,"OK","NG")</f>
        <v>OK</v>
      </c>
    </row>
    <row r="61" ht="12">
      <c r="A61" s="2" t="s">
        <v>1235</v>
      </c>
    </row>
    <row r="62" spans="1:4" ht="12">
      <c r="A62" s="2">
        <f>ROUND(A57/B55+C47/F47,3)</f>
        <v>0.665</v>
      </c>
      <c r="B62" s="5" t="str">
        <f>IF(A62&gt;=C62,"&gt;=","&lt;=")</f>
        <v>&lt;=</v>
      </c>
      <c r="C62" s="2">
        <v>1</v>
      </c>
      <c r="D62" s="9" t="str">
        <f>IF(A62&lt;C62,"OK","NG")</f>
        <v>OK</v>
      </c>
    </row>
    <row r="63" ht="12">
      <c r="A63" s="3" t="s">
        <v>1236</v>
      </c>
    </row>
    <row r="64" ht="12">
      <c r="A64" s="2" t="s">
        <v>1237</v>
      </c>
    </row>
    <row r="65" spans="1:5" ht="12">
      <c r="A65" s="2" t="s">
        <v>1238</v>
      </c>
      <c r="C65" s="2">
        <f>ROUND(-C66/2*C68/C69,3)</f>
        <v>-5.842</v>
      </c>
      <c r="D65" s="2" t="s">
        <v>1299</v>
      </c>
      <c r="E65" s="2" t="str">
        <f>IF(C65&lt;ABS(C65),"圧縮","引張")</f>
        <v>圧縮</v>
      </c>
    </row>
    <row r="66" spans="1:4" ht="12">
      <c r="A66" s="2" t="s">
        <v>1195</v>
      </c>
      <c r="C66" s="12">
        <f>D6</f>
        <v>10</v>
      </c>
      <c r="D66" s="2" t="s">
        <v>1299</v>
      </c>
    </row>
    <row r="67" spans="1:6" ht="12">
      <c r="A67" s="2" t="s">
        <v>1318</v>
      </c>
      <c r="C67" s="2">
        <f>'床版'!C12*100</f>
        <v>229.99999999999997</v>
      </c>
      <c r="D67" s="2" t="s">
        <v>1278</v>
      </c>
      <c r="E67" s="2">
        <f>C67*10</f>
        <v>2299.9999999999995</v>
      </c>
      <c r="F67" s="2" t="s">
        <v>1264</v>
      </c>
    </row>
    <row r="68" spans="1:6" ht="12">
      <c r="A68" s="2" t="s">
        <v>1239</v>
      </c>
      <c r="C68" s="10">
        <f>ROUND(SQRT(('床版'!C12*100/2)^2+'対傾構'!C69^2),0)</f>
        <v>222</v>
      </c>
      <c r="D68" s="2" t="s">
        <v>1278</v>
      </c>
      <c r="E68" s="2">
        <f>C68*10</f>
        <v>2220</v>
      </c>
      <c r="F68" s="2" t="s">
        <v>1462</v>
      </c>
    </row>
    <row r="69" spans="1:6" ht="12">
      <c r="A69" s="2" t="s">
        <v>1429</v>
      </c>
      <c r="C69" s="10">
        <f>D8/10</f>
        <v>190</v>
      </c>
      <c r="D69" s="2" t="s">
        <v>1278</v>
      </c>
      <c r="E69" s="2">
        <f>C69*10</f>
        <v>1900</v>
      </c>
      <c r="F69" s="2" t="s">
        <v>1462</v>
      </c>
    </row>
    <row r="70" ht="12">
      <c r="A70" s="2" t="s">
        <v>1241</v>
      </c>
    </row>
    <row r="71" spans="1:3" ht="12">
      <c r="A71" s="2" t="s">
        <v>1242</v>
      </c>
      <c r="C71" s="10">
        <f>D12</f>
        <v>0.391</v>
      </c>
    </row>
    <row r="72" spans="1:4" ht="12">
      <c r="A72" s="12" t="s">
        <v>1243</v>
      </c>
      <c r="C72" s="2">
        <f>ROUND(C65*C71,3)</f>
        <v>-2.284</v>
      </c>
      <c r="D72" s="2" t="s">
        <v>1299</v>
      </c>
    </row>
    <row r="74" spans="1:7" ht="12">
      <c r="A74" s="2" t="s">
        <v>1244</v>
      </c>
      <c r="C74" s="2">
        <f>ROUND(C65+C72,3)</f>
        <v>-8.126</v>
      </c>
      <c r="D74" s="2" t="s">
        <v>1299</v>
      </c>
      <c r="F74" s="2">
        <f>ABS(C74)</f>
        <v>8.126</v>
      </c>
      <c r="G74" s="2">
        <f>F74*1000</f>
        <v>8125.999999999999</v>
      </c>
    </row>
    <row r="75" ht="12">
      <c r="A75" s="2" t="s">
        <v>1245</v>
      </c>
    </row>
    <row r="76" spans="1:6" ht="12">
      <c r="A76" s="2" t="s">
        <v>1246</v>
      </c>
      <c r="C76" s="2">
        <f>ROUND(-C39*C68/B51,0)</f>
        <v>-5707</v>
      </c>
      <c r="D76" s="2" t="s">
        <v>1496</v>
      </c>
      <c r="E76" s="2" t="str">
        <f>IF(C76&lt;ABS(C76),"圧縮","引張")</f>
        <v>圧縮</v>
      </c>
      <c r="F76" s="2">
        <f>ABS(C76)</f>
        <v>5707</v>
      </c>
    </row>
    <row r="77" ht="12">
      <c r="A77" s="8" t="s">
        <v>1247</v>
      </c>
    </row>
    <row r="78" ht="12">
      <c r="A78" s="2" t="s">
        <v>1202</v>
      </c>
    </row>
    <row r="79" spans="1:9" ht="12">
      <c r="A79" s="2" t="s">
        <v>930</v>
      </c>
      <c r="B79" s="64">
        <v>130</v>
      </c>
      <c r="C79" s="5" t="s">
        <v>1266</v>
      </c>
      <c r="D79" s="64">
        <v>130</v>
      </c>
      <c r="E79" s="68" t="s">
        <v>1266</v>
      </c>
      <c r="F79" s="64">
        <v>15</v>
      </c>
      <c r="I79" s="2">
        <f>F79/10</f>
        <v>1.5</v>
      </c>
    </row>
    <row r="80" spans="1:3" ht="12">
      <c r="A80" s="2" t="s">
        <v>938</v>
      </c>
      <c r="B80" s="64">
        <v>36.75</v>
      </c>
      <c r="C80" s="2" t="s">
        <v>1277</v>
      </c>
    </row>
    <row r="81" spans="1:3" ht="12">
      <c r="A81" s="2" t="s">
        <v>931</v>
      </c>
      <c r="B81" s="64">
        <v>3.93</v>
      </c>
      <c r="C81" s="2" t="s">
        <v>1278</v>
      </c>
    </row>
    <row r="82" spans="1:2" ht="12">
      <c r="A82" s="2" t="s">
        <v>941</v>
      </c>
      <c r="B82" s="10"/>
    </row>
    <row r="83" spans="1:3" ht="12">
      <c r="A83" s="2" t="s">
        <v>932</v>
      </c>
      <c r="B83" s="64">
        <v>2.53</v>
      </c>
      <c r="C83" s="2" t="s">
        <v>1278</v>
      </c>
    </row>
    <row r="84" spans="1:2" ht="12">
      <c r="A84" s="2" t="s">
        <v>937</v>
      </c>
      <c r="B84" s="12">
        <f>C68</f>
        <v>222</v>
      </c>
    </row>
    <row r="85" spans="1:7" ht="12">
      <c r="A85" s="2" t="s">
        <v>933</v>
      </c>
      <c r="B85" s="2">
        <f>ROUND(B84/B83,0)</f>
        <v>88</v>
      </c>
      <c r="C85" s="5" t="str">
        <f>IF(B85&lt;F85,"&lt;","&gt;")</f>
        <v>&lt;</v>
      </c>
      <c r="D85" s="2" t="s">
        <v>1213</v>
      </c>
      <c r="F85" s="8">
        <v>150</v>
      </c>
      <c r="G85" s="2" t="s">
        <v>1226</v>
      </c>
    </row>
    <row r="86" ht="12">
      <c r="A86" s="2" t="s">
        <v>1224</v>
      </c>
    </row>
    <row r="87" spans="1:4" ht="12">
      <c r="A87" s="2" t="s">
        <v>1225</v>
      </c>
      <c r="B87" s="10">
        <f>B85</f>
        <v>88</v>
      </c>
      <c r="C87" s="5" t="str">
        <f>IF(B87&gt;D87,"&gt;","&lt;")</f>
        <v>&lt;</v>
      </c>
      <c r="D87" s="8">
        <v>93</v>
      </c>
    </row>
    <row r="88" spans="1:3" ht="12">
      <c r="A88" s="2" t="s">
        <v>940</v>
      </c>
      <c r="B88" s="2">
        <f>IF(B87&gt;D87,ROUND(12*10^6/(6700+(B87)^2),0),IF(B87&gt;20,ROUND(1400-8.4*(B87-20),0),1400))</f>
        <v>829</v>
      </c>
      <c r="C88" s="2" t="s">
        <v>1279</v>
      </c>
    </row>
    <row r="89" ht="12">
      <c r="A89" s="2" t="s">
        <v>940</v>
      </c>
    </row>
    <row r="90" ht="12">
      <c r="A90" s="3" t="s">
        <v>1248</v>
      </c>
    </row>
    <row r="91" s="10" customFormat="1" ht="12"/>
    <row r="92" spans="1:3" ht="12">
      <c r="A92" s="2" t="s">
        <v>936</v>
      </c>
      <c r="C92" s="2" t="s">
        <v>934</v>
      </c>
    </row>
    <row r="93" spans="1:7" ht="12">
      <c r="A93" s="2" t="s">
        <v>935</v>
      </c>
      <c r="B93" s="2">
        <f>ROUND(ABS(C74)*1000/B80,0)</f>
        <v>221</v>
      </c>
      <c r="C93" s="2" t="s">
        <v>1279</v>
      </c>
      <c r="D93" s="5" t="str">
        <f>IF(B93&gt;E93,"&gt;","&lt;")</f>
        <v>&lt;</v>
      </c>
      <c r="E93" s="2">
        <f>ROUND(B88*(0.5+B84/B81/1000),0)</f>
        <v>461</v>
      </c>
      <c r="F93" s="2" t="s">
        <v>1279</v>
      </c>
      <c r="G93" s="9" t="str">
        <f>IF(B93&lt;E93,"OK","NG")</f>
        <v>OK</v>
      </c>
    </row>
    <row r="94" spans="1:4" ht="12">
      <c r="A94" s="2" t="s">
        <v>935</v>
      </c>
      <c r="B94" s="2">
        <f>ROUND(C74*1000/B80,0)</f>
        <v>-221</v>
      </c>
      <c r="C94" s="2" t="s">
        <v>1279</v>
      </c>
      <c r="D94" s="5"/>
    </row>
    <row r="95" ht="12">
      <c r="A95" s="2" t="s">
        <v>1250</v>
      </c>
    </row>
    <row r="96" spans="1:3" ht="12">
      <c r="A96" s="2" t="s">
        <v>942</v>
      </c>
      <c r="C96" s="2" t="s">
        <v>934</v>
      </c>
    </row>
    <row r="97" spans="1:7" ht="12">
      <c r="A97" s="2" t="s">
        <v>935</v>
      </c>
      <c r="B97" s="2">
        <f>ROUND(ABS(C76)/B80,0)</f>
        <v>155</v>
      </c>
      <c r="C97" s="2" t="s">
        <v>1279</v>
      </c>
      <c r="D97" s="5" t="str">
        <f>IF(B97&gt;E97,"&gt;","&lt;")</f>
        <v>&lt;</v>
      </c>
      <c r="E97" s="2">
        <f>E93</f>
        <v>461</v>
      </c>
      <c r="F97" s="2" t="s">
        <v>1279</v>
      </c>
      <c r="G97" s="9" t="str">
        <f>IF(B97&lt;E97,"OK","NG")</f>
        <v>OK</v>
      </c>
    </row>
    <row r="98" spans="1:4" ht="12">
      <c r="A98" s="2" t="s">
        <v>935</v>
      </c>
      <c r="B98" s="2">
        <f>ROUND(C76/B80,0)</f>
        <v>-155</v>
      </c>
      <c r="C98" s="2" t="s">
        <v>1279</v>
      </c>
      <c r="D98" s="5"/>
    </row>
    <row r="99" ht="12">
      <c r="A99" s="2" t="s">
        <v>1251</v>
      </c>
    </row>
    <row r="100" ht="12">
      <c r="A100" s="2" t="s">
        <v>1252</v>
      </c>
    </row>
    <row r="101" spans="1:3" ht="12">
      <c r="A101" s="2" t="s">
        <v>1253</v>
      </c>
      <c r="B101" s="2">
        <f>ROUND(B80-B80/4-F79/10*'外桁継手'!F157,3)</f>
        <v>23.813</v>
      </c>
      <c r="C101" s="2" t="s">
        <v>1277</v>
      </c>
    </row>
    <row r="102" ht="12">
      <c r="A102" s="2" t="s">
        <v>1254</v>
      </c>
    </row>
    <row r="103" spans="1:8" ht="12">
      <c r="A103" s="2" t="s">
        <v>943</v>
      </c>
      <c r="B103" s="2">
        <f>ROUND(ABS(C76)/B101,0)</f>
        <v>240</v>
      </c>
      <c r="C103" s="2" t="s">
        <v>1279</v>
      </c>
      <c r="D103" s="5" t="str">
        <f>IF(B103&gt;F103,"&gt;","&lt;")</f>
        <v>&lt;</v>
      </c>
      <c r="E103" s="2" t="s">
        <v>944</v>
      </c>
      <c r="F103" s="12">
        <f>'主桁'!E303</f>
        <v>1400</v>
      </c>
      <c r="G103" s="2" t="s">
        <v>1279</v>
      </c>
      <c r="H103" s="9" t="str">
        <f>IF(B103&lt;F103,"OK","NG")</f>
        <v>OK</v>
      </c>
    </row>
    <row r="104" spans="2:8" ht="12">
      <c r="B104" s="2">
        <f>ROUND(C76/B101,0)</f>
        <v>-240</v>
      </c>
      <c r="C104" s="2" t="s">
        <v>1279</v>
      </c>
      <c r="D104" s="5" t="str">
        <f>IF(B104&gt;F104,"&gt;","&lt;")</f>
        <v>&lt;</v>
      </c>
      <c r="E104" s="2" t="s">
        <v>944</v>
      </c>
      <c r="F104" s="12">
        <f>'主桁'!E303</f>
        <v>1400</v>
      </c>
      <c r="G104" s="2" t="s">
        <v>1279</v>
      </c>
      <c r="H104" s="9" t="str">
        <f>IF(B104&lt;F104,"OK","NG")</f>
        <v>OK</v>
      </c>
    </row>
    <row r="105" ht="12">
      <c r="A105" s="2" t="s">
        <v>1255</v>
      </c>
    </row>
    <row r="106" spans="1:7" ht="12">
      <c r="A106" s="2" t="s">
        <v>1249</v>
      </c>
      <c r="B106" s="2">
        <f>B94+B98</f>
        <v>-376</v>
      </c>
      <c r="C106" s="2" t="s">
        <v>1279</v>
      </c>
      <c r="D106" s="5" t="str">
        <f>IF(B106&gt;E106,"&gt;","&lt;")</f>
        <v>&lt;</v>
      </c>
      <c r="E106" s="2">
        <f>ROUND(E93*1.25,0)</f>
        <v>576</v>
      </c>
      <c r="F106" s="2" t="s">
        <v>1279</v>
      </c>
      <c r="G106" s="9" t="str">
        <f>IF(B106&lt;E106,"OK","NG")</f>
        <v>OK</v>
      </c>
    </row>
    <row r="107" spans="2:7" ht="12">
      <c r="B107" s="2">
        <f>ABS(B106)</f>
        <v>376</v>
      </c>
      <c r="C107" s="2" t="s">
        <v>1279</v>
      </c>
      <c r="D107" s="5" t="str">
        <f>IF(B107&gt;E107,"&gt;","&lt;")</f>
        <v>&lt;</v>
      </c>
      <c r="E107" s="2">
        <f>ROUND(E93*1.25,0)</f>
        <v>576</v>
      </c>
      <c r="F107" s="2" t="s">
        <v>1279</v>
      </c>
      <c r="G107" s="9" t="str">
        <f>IF(B107&lt;E107,"OK","NG")</f>
        <v>OK</v>
      </c>
    </row>
    <row r="108" ht="12">
      <c r="A108" s="2" t="s">
        <v>945</v>
      </c>
    </row>
    <row r="109" spans="1:7" ht="12">
      <c r="A109" s="2" t="s">
        <v>1249</v>
      </c>
      <c r="B109" s="12">
        <f>B94+B103</f>
        <v>19</v>
      </c>
      <c r="C109" s="2" t="s">
        <v>1279</v>
      </c>
      <c r="D109" s="5" t="str">
        <f>IF(B109&gt;E109,"&gt;","&lt;")</f>
        <v>&lt;</v>
      </c>
      <c r="E109" s="2">
        <f>E106</f>
        <v>576</v>
      </c>
      <c r="F109" s="2" t="s">
        <v>1279</v>
      </c>
      <c r="G109" s="9" t="str">
        <f>IF(B109&lt;E109,"OK","NG")</f>
        <v>OK</v>
      </c>
    </row>
    <row r="110" spans="2:7" ht="12">
      <c r="B110" s="2">
        <f>ABS(B109)</f>
        <v>19</v>
      </c>
      <c r="C110" s="2" t="s">
        <v>1279</v>
      </c>
      <c r="D110" s="5" t="str">
        <f>IF(B110&gt;E110,"&gt;","&lt;")</f>
        <v>&lt;</v>
      </c>
      <c r="E110" s="2">
        <f>E109</f>
        <v>576</v>
      </c>
      <c r="F110" s="2" t="s">
        <v>1279</v>
      </c>
      <c r="G110" s="9" t="str">
        <f>IF(B110&lt;E110,"OK","NG")</f>
        <v>OK</v>
      </c>
    </row>
    <row r="111" ht="12">
      <c r="A111" s="3" t="s">
        <v>946</v>
      </c>
    </row>
    <row r="112" ht="12">
      <c r="A112" s="2" t="s">
        <v>947</v>
      </c>
    </row>
    <row r="113" spans="1:3" ht="12">
      <c r="A113" s="2" t="s">
        <v>1009</v>
      </c>
      <c r="B113" s="2">
        <f>ROUND(D6*B115/4/B114,2)</f>
        <v>3.03</v>
      </c>
      <c r="C113" s="2" t="s">
        <v>1056</v>
      </c>
    </row>
    <row r="114" spans="1:3" ht="12">
      <c r="A114" s="2" t="s">
        <v>1055</v>
      </c>
      <c r="B114" s="10">
        <f>C69</f>
        <v>190</v>
      </c>
      <c r="C114" s="2" t="s">
        <v>1278</v>
      </c>
    </row>
    <row r="115" spans="1:3" ht="12">
      <c r="A115" s="2" t="s">
        <v>1318</v>
      </c>
      <c r="B115" s="10">
        <f>B51</f>
        <v>229.99999999999997</v>
      </c>
      <c r="C115" s="2" t="s">
        <v>1278</v>
      </c>
    </row>
    <row r="116" ht="12">
      <c r="A116" s="2" t="s">
        <v>948</v>
      </c>
    </row>
    <row r="117" spans="1:2" ht="12">
      <c r="A117" s="2" t="s">
        <v>1010</v>
      </c>
      <c r="B117" s="2">
        <f>C71</f>
        <v>0.391</v>
      </c>
    </row>
    <row r="118" spans="1:3" ht="12">
      <c r="A118" s="2" t="s">
        <v>1011</v>
      </c>
      <c r="B118" s="2">
        <f>ROUND(B117*B113,2)</f>
        <v>1.18</v>
      </c>
      <c r="C118" s="2" t="s">
        <v>1299</v>
      </c>
    </row>
    <row r="119" spans="1:4" ht="12">
      <c r="A119" s="2" t="s">
        <v>1057</v>
      </c>
      <c r="B119" s="2">
        <f>B113+B118</f>
        <v>4.21</v>
      </c>
      <c r="C119" s="2" t="s">
        <v>1299</v>
      </c>
      <c r="D119" s="2">
        <f>B119*1000</f>
        <v>4210</v>
      </c>
    </row>
    <row r="120" ht="12">
      <c r="A120" s="2" t="s">
        <v>949</v>
      </c>
    </row>
    <row r="121" spans="1:6" ht="12">
      <c r="A121" s="26" t="s">
        <v>1054</v>
      </c>
      <c r="B121" s="65">
        <v>1</v>
      </c>
      <c r="C121" s="2" t="s">
        <v>1267</v>
      </c>
      <c r="D121" s="2">
        <f>C39/B121</f>
        <v>5912.5</v>
      </c>
      <c r="E121" s="2" t="s">
        <v>1496</v>
      </c>
      <c r="F121" s="2" t="str">
        <f>IF(D121&gt;=ABS(D121),"(引張）","（圧縮）")</f>
        <v>(引張）</v>
      </c>
    </row>
    <row r="122" ht="12">
      <c r="A122" s="2" t="s">
        <v>950</v>
      </c>
    </row>
    <row r="123" ht="12">
      <c r="A123" s="2" t="s">
        <v>1202</v>
      </c>
    </row>
    <row r="124" spans="1:9" ht="12">
      <c r="A124" s="2" t="s">
        <v>1058</v>
      </c>
      <c r="B124" s="64">
        <v>130</v>
      </c>
      <c r="C124" s="68" t="s">
        <v>1266</v>
      </c>
      <c r="D124" s="64">
        <v>130</v>
      </c>
      <c r="E124" s="68" t="s">
        <v>1266</v>
      </c>
      <c r="F124" s="64">
        <v>15</v>
      </c>
      <c r="I124" s="2">
        <f>F124/10</f>
        <v>1.5</v>
      </c>
    </row>
    <row r="125" spans="1:3" ht="12">
      <c r="A125" s="2" t="s">
        <v>1060</v>
      </c>
      <c r="B125" s="64">
        <v>36.75</v>
      </c>
      <c r="C125" s="2" t="s">
        <v>1277</v>
      </c>
    </row>
    <row r="126" spans="1:3" ht="12">
      <c r="A126" s="2" t="s">
        <v>932</v>
      </c>
      <c r="B126" s="64">
        <v>2.53</v>
      </c>
      <c r="C126" s="2" t="s">
        <v>1278</v>
      </c>
    </row>
    <row r="127" spans="1:3" ht="12">
      <c r="A127" s="2" t="s">
        <v>1062</v>
      </c>
      <c r="B127" s="12">
        <f>ROUND(B125-B125/4-F124/10*'外桁継手'!F157,3)</f>
        <v>23.813</v>
      </c>
      <c r="C127" s="2" t="s">
        <v>1277</v>
      </c>
    </row>
    <row r="128" ht="12">
      <c r="A128" s="2" t="s">
        <v>951</v>
      </c>
    </row>
    <row r="129" spans="1:8" ht="12">
      <c r="A129" s="2" t="s">
        <v>1061</v>
      </c>
      <c r="B129" s="2">
        <f>ROUND(B119*1000/B127,0)</f>
        <v>177</v>
      </c>
      <c r="C129" s="2" t="s">
        <v>1279</v>
      </c>
      <c r="D129" s="5" t="str">
        <f>IF(B129&gt;F129,"&gt;","&lt;")</f>
        <v>&lt;</v>
      </c>
      <c r="E129" s="2" t="s">
        <v>944</v>
      </c>
      <c r="F129" s="12">
        <f>F103</f>
        <v>1400</v>
      </c>
      <c r="G129" s="2" t="s">
        <v>1279</v>
      </c>
      <c r="H129" s="9" t="str">
        <f>IF(B129&lt;F129,"OK","NG")</f>
        <v>OK</v>
      </c>
    </row>
    <row r="130" spans="1:10" ht="12">
      <c r="A130" s="2" t="s">
        <v>952</v>
      </c>
      <c r="B130" s="2">
        <f>ROUND(B115/B126,0)</f>
        <v>91</v>
      </c>
      <c r="C130" s="5" t="str">
        <f>IF(B130&lt;F130,"&lt;","&gt;")</f>
        <v>&lt;</v>
      </c>
      <c r="D130" s="2" t="s">
        <v>1063</v>
      </c>
      <c r="F130" s="8">
        <v>240</v>
      </c>
      <c r="G130" s="2" t="s">
        <v>1226</v>
      </c>
      <c r="I130" s="12">
        <v>150</v>
      </c>
      <c r="J130" s="2" t="s">
        <v>1463</v>
      </c>
    </row>
    <row r="131" ht="12">
      <c r="A131" s="2" t="s">
        <v>953</v>
      </c>
    </row>
    <row r="132" spans="1:9" ht="12">
      <c r="A132" s="2" t="s">
        <v>1064</v>
      </c>
      <c r="C132" s="2">
        <f>ROUND(D121/B127,0)</f>
        <v>248</v>
      </c>
      <c r="D132" s="2" t="s">
        <v>1279</v>
      </c>
      <c r="E132" s="5" t="str">
        <f>IF(C132&gt;G132,"&gt;","&lt;")</f>
        <v>&lt;</v>
      </c>
      <c r="F132" s="2" t="s">
        <v>944</v>
      </c>
      <c r="G132" s="12">
        <f>F129</f>
        <v>1400</v>
      </c>
      <c r="H132" s="2" t="s">
        <v>1279</v>
      </c>
      <c r="I132" s="9" t="str">
        <f>IF(C132&lt;G132,"OK","NG")</f>
        <v>OK</v>
      </c>
    </row>
    <row r="133" ht="12">
      <c r="A133" s="2" t="s">
        <v>1008</v>
      </c>
    </row>
    <row r="134" spans="1:9" ht="12">
      <c r="A134" s="2" t="s">
        <v>1065</v>
      </c>
      <c r="C134" s="2">
        <f>B129+C132</f>
        <v>425</v>
      </c>
      <c r="D134" s="2" t="s">
        <v>1279</v>
      </c>
      <c r="E134" s="5" t="str">
        <f>IF(C134&gt;G134,"&gt;","&lt;")</f>
        <v>&lt;</v>
      </c>
      <c r="F134" s="2" t="s">
        <v>944</v>
      </c>
      <c r="G134" s="12">
        <f>'主桁'!E303*1.25</f>
        <v>1750</v>
      </c>
      <c r="H134" s="2" t="s">
        <v>1279</v>
      </c>
      <c r="I134" s="9" t="str">
        <f>IF(C134&lt;G134,"OK","NG")</f>
        <v>OK</v>
      </c>
    </row>
    <row r="136" ht="12">
      <c r="A136" s="3" t="s">
        <v>1066</v>
      </c>
    </row>
    <row r="137" ht="12">
      <c r="A137" s="2" t="s">
        <v>1067</v>
      </c>
    </row>
    <row r="138" spans="1:6" ht="12">
      <c r="A138" s="2" t="s">
        <v>1068</v>
      </c>
      <c r="E138" s="64">
        <v>3</v>
      </c>
      <c r="F138" s="2" t="s">
        <v>1069</v>
      </c>
    </row>
    <row r="139" spans="1:5" ht="12">
      <c r="A139" s="2" t="s">
        <v>1070</v>
      </c>
      <c r="D139" s="4" t="s">
        <v>1198</v>
      </c>
      <c r="E139" s="17">
        <f>E138*2</f>
        <v>6</v>
      </c>
    </row>
    <row r="140" ht="12">
      <c r="A140" s="2" t="s">
        <v>1071</v>
      </c>
    </row>
    <row r="141" ht="12">
      <c r="A141" s="2" t="s">
        <v>949</v>
      </c>
    </row>
    <row r="142" spans="1:6" ht="12">
      <c r="A142" s="8" t="s">
        <v>1433</v>
      </c>
      <c r="B142" s="12">
        <f>-C39/2</f>
        <v>-2956.25</v>
      </c>
      <c r="C142" s="2" t="s">
        <v>1496</v>
      </c>
      <c r="D142" s="2" t="str">
        <f>IF(B142&gt;=ABS(B142),"(引張）","（圧縮）")</f>
        <v>（圧縮）</v>
      </c>
      <c r="F142" s="2">
        <f>ABS(B142)</f>
        <v>2956.25</v>
      </c>
    </row>
    <row r="143" ht="12">
      <c r="A143" s="2" t="s">
        <v>1072</v>
      </c>
    </row>
    <row r="144" ht="12">
      <c r="A144" s="2" t="s">
        <v>1202</v>
      </c>
    </row>
    <row r="145" spans="1:6" ht="12">
      <c r="A145" s="2" t="s">
        <v>1080</v>
      </c>
      <c r="B145" s="64">
        <v>130</v>
      </c>
      <c r="C145" s="68" t="s">
        <v>1266</v>
      </c>
      <c r="D145" s="64">
        <v>130</v>
      </c>
      <c r="E145" s="68" t="s">
        <v>1266</v>
      </c>
      <c r="F145" s="64">
        <v>36</v>
      </c>
    </row>
    <row r="146" spans="1:3" ht="12">
      <c r="A146" s="2" t="s">
        <v>1073</v>
      </c>
      <c r="B146" s="64">
        <v>36.75</v>
      </c>
      <c r="C146" s="2" t="s">
        <v>1277</v>
      </c>
    </row>
    <row r="147" spans="1:3" ht="12">
      <c r="A147" s="2" t="s">
        <v>1074</v>
      </c>
      <c r="B147" s="64">
        <v>3.93</v>
      </c>
      <c r="C147" s="2" t="s">
        <v>1278</v>
      </c>
    </row>
    <row r="148" spans="1:3" ht="12">
      <c r="A148" s="2" t="s">
        <v>1075</v>
      </c>
      <c r="B148" s="64">
        <v>2.53</v>
      </c>
      <c r="C148" s="2" t="s">
        <v>1278</v>
      </c>
    </row>
    <row r="149" spans="1:5" ht="12">
      <c r="A149" s="2" t="s">
        <v>1318</v>
      </c>
      <c r="B149" s="2">
        <f>B115-D149</f>
        <v>226.49999999999997</v>
      </c>
      <c r="C149" s="2" t="s">
        <v>1278</v>
      </c>
      <c r="D149" s="64">
        <v>3.5</v>
      </c>
      <c r="E149" s="2" t="s">
        <v>1278</v>
      </c>
    </row>
    <row r="150" spans="1:7" ht="12">
      <c r="A150" s="2" t="s">
        <v>1212</v>
      </c>
      <c r="B150" s="2">
        <f>ROUND(B149/B148,0)</f>
        <v>90</v>
      </c>
      <c r="C150" s="5" t="str">
        <f>IF(B150&lt;F150,"&lt;","&gt;")</f>
        <v>&lt;</v>
      </c>
      <c r="D150" s="2" t="s">
        <v>1078</v>
      </c>
      <c r="E150" s="2" t="str">
        <f>D142</f>
        <v>（圧縮）</v>
      </c>
      <c r="F150" s="8">
        <v>150</v>
      </c>
      <c r="G150" s="2" t="s">
        <v>1226</v>
      </c>
    </row>
    <row r="151" spans="1:7" ht="12">
      <c r="A151" s="2" t="s">
        <v>1224</v>
      </c>
      <c r="G151" s="2" t="s">
        <v>1227</v>
      </c>
    </row>
    <row r="152" spans="1:4" ht="12">
      <c r="A152" s="2" t="s">
        <v>1225</v>
      </c>
      <c r="B152" s="10">
        <f>ROUND(B149/B148,0)</f>
        <v>90</v>
      </c>
      <c r="C152" s="5" t="str">
        <f>IF(B152&gt;D152,"&gt;","&lt;")</f>
        <v>&lt;</v>
      </c>
      <c r="D152" s="8">
        <v>93</v>
      </c>
    </row>
    <row r="153" spans="1:3" ht="12">
      <c r="A153" s="2" t="s">
        <v>1228</v>
      </c>
      <c r="B153" s="2">
        <f>IF(B152&gt;D152,ROUND(12*10^6/(6700+(B152)^2),0),IF(B152&gt;20,ROUND(1400-8.4*(B152-20),0),1400))</f>
        <v>812</v>
      </c>
      <c r="C153" s="2" t="s">
        <v>1279</v>
      </c>
    </row>
    <row r="154" spans="1:3" ht="12">
      <c r="A154" s="2" t="s">
        <v>1079</v>
      </c>
      <c r="C154" s="2" t="s">
        <v>934</v>
      </c>
    </row>
    <row r="155" spans="1:7" ht="12">
      <c r="A155" s="2" t="s">
        <v>935</v>
      </c>
      <c r="B155" s="2">
        <f>ROUND(ABS(B142)/B146,0)</f>
        <v>80</v>
      </c>
      <c r="C155" s="2" t="s">
        <v>1279</v>
      </c>
      <c r="D155" s="5" t="str">
        <f>IF(B155&gt;E155,"&gt;","&lt;")</f>
        <v>&lt;</v>
      </c>
      <c r="E155" s="2">
        <f>ROUND(B153*(0.5+B149/B147/1000),0)</f>
        <v>453</v>
      </c>
      <c r="F155" s="2" t="s">
        <v>1279</v>
      </c>
      <c r="G155" s="9" t="str">
        <f>IF(B155&lt;E155,"OK","NG")</f>
        <v>OK</v>
      </c>
    </row>
    <row r="156" ht="12">
      <c r="A156" s="2" t="s">
        <v>1236</v>
      </c>
    </row>
    <row r="157" ht="12">
      <c r="A157" s="2" t="s">
        <v>949</v>
      </c>
    </row>
    <row r="158" spans="1:2" ht="12">
      <c r="A158" s="2" t="s">
        <v>1318</v>
      </c>
      <c r="B158" s="2">
        <f>B149</f>
        <v>226.49999999999997</v>
      </c>
    </row>
    <row r="159" spans="1:6" ht="12">
      <c r="A159" s="2" t="s">
        <v>1081</v>
      </c>
      <c r="B159" s="2">
        <f>ROUND(-C39*B166/B158,0)</f>
        <v>-5769</v>
      </c>
      <c r="C159" s="2" t="s">
        <v>1496</v>
      </c>
      <c r="D159" s="2" t="str">
        <f>IF(B159&gt;=ABS(B159),"(引張）","（圧縮）")</f>
        <v>（圧縮）</v>
      </c>
      <c r="F159" s="2">
        <f>ABS(B159)</f>
        <v>5769</v>
      </c>
    </row>
    <row r="160" ht="12">
      <c r="A160" s="2" t="s">
        <v>1072</v>
      </c>
    </row>
    <row r="161" ht="12">
      <c r="A161" s="2" t="s">
        <v>1202</v>
      </c>
    </row>
    <row r="162" spans="1:6" ht="12">
      <c r="A162" s="2" t="s">
        <v>1080</v>
      </c>
      <c r="B162" s="64">
        <v>130</v>
      </c>
      <c r="C162" s="68" t="s">
        <v>1266</v>
      </c>
      <c r="D162" s="64">
        <v>130</v>
      </c>
      <c r="E162" s="68" t="s">
        <v>1266</v>
      </c>
      <c r="F162" s="64">
        <v>36</v>
      </c>
    </row>
    <row r="163" spans="1:3" ht="12">
      <c r="A163" s="2" t="s">
        <v>1073</v>
      </c>
      <c r="B163" s="64">
        <v>36.75</v>
      </c>
      <c r="C163" s="2" t="s">
        <v>1277</v>
      </c>
    </row>
    <row r="164" spans="1:3" ht="12">
      <c r="A164" s="2" t="s">
        <v>1074</v>
      </c>
      <c r="B164" s="64">
        <v>3.93</v>
      </c>
      <c r="C164" s="2" t="s">
        <v>1278</v>
      </c>
    </row>
    <row r="165" spans="1:3" ht="12">
      <c r="A165" s="2" t="s">
        <v>1075</v>
      </c>
      <c r="B165" s="64">
        <v>2.53</v>
      </c>
      <c r="C165" s="2" t="s">
        <v>1278</v>
      </c>
    </row>
    <row r="166" spans="1:3" ht="12">
      <c r="A166" s="2" t="s">
        <v>1082</v>
      </c>
      <c r="B166" s="10">
        <f>ROUND(SQRT((D8/10)^2+(B149/2)^2),0)</f>
        <v>221</v>
      </c>
      <c r="C166" s="2" t="s">
        <v>1278</v>
      </c>
    </row>
    <row r="167" spans="1:7" ht="12">
      <c r="A167" s="2" t="s">
        <v>1212</v>
      </c>
      <c r="B167" s="2">
        <f>ROUND(B166/B165,0)</f>
        <v>87</v>
      </c>
      <c r="C167" s="5" t="str">
        <f>IF(B167&lt;F167,"&lt;","&gt;")</f>
        <v>&lt;</v>
      </c>
      <c r="D167" s="2" t="s">
        <v>1078</v>
      </c>
      <c r="E167" s="2" t="str">
        <f>E150</f>
        <v>（圧縮）</v>
      </c>
      <c r="F167" s="8">
        <v>150</v>
      </c>
      <c r="G167" s="2" t="s">
        <v>1226</v>
      </c>
    </row>
    <row r="168" spans="1:7" ht="12">
      <c r="A168" s="2" t="s">
        <v>1224</v>
      </c>
      <c r="G168" s="2" t="s">
        <v>1227</v>
      </c>
    </row>
    <row r="169" spans="1:4" ht="12">
      <c r="A169" s="2" t="s">
        <v>1225</v>
      </c>
      <c r="B169" s="10">
        <f>ROUND(B166/B165,0)</f>
        <v>87</v>
      </c>
      <c r="C169" s="5" t="str">
        <f>IF(B169&gt;D169,"&gt;","&lt;")</f>
        <v>&lt;</v>
      </c>
      <c r="D169" s="8">
        <v>93</v>
      </c>
    </row>
    <row r="170" spans="1:3" ht="12">
      <c r="A170" s="2" t="s">
        <v>1228</v>
      </c>
      <c r="B170" s="2">
        <f>IF(B169&gt;D169,ROUND(12*10^6/(6700+(B169)^2),0),IF(B169&gt;20,ROUND(1400-8.4*(B169-20),0),1400))</f>
        <v>837</v>
      </c>
      <c r="C170" s="2" t="s">
        <v>1279</v>
      </c>
    </row>
    <row r="171" spans="1:3" ht="12">
      <c r="A171" s="2" t="s">
        <v>1079</v>
      </c>
      <c r="C171" s="2" t="s">
        <v>934</v>
      </c>
    </row>
    <row r="172" spans="1:7" ht="12">
      <c r="A172" s="2" t="s">
        <v>935</v>
      </c>
      <c r="B172" s="2">
        <f>ROUND(ABS(B159)/B163,0)</f>
        <v>157</v>
      </c>
      <c r="C172" s="2" t="s">
        <v>1279</v>
      </c>
      <c r="D172" s="5" t="str">
        <f>IF(B172&gt;E172,"&gt;","&lt;")</f>
        <v>&lt;</v>
      </c>
      <c r="E172" s="2">
        <f>ROUND(B170*(0.5+B166/B164/1000),0)</f>
        <v>466</v>
      </c>
      <c r="F172" s="2" t="s">
        <v>1279</v>
      </c>
      <c r="G172" s="9" t="str">
        <f>IF(B172&lt;E172,"OK","NG")</f>
        <v>OK</v>
      </c>
    </row>
  </sheetData>
  <sheetProtection password="AF41" sheet="1" objects="1" scenarios="1"/>
  <dataValidations count="1">
    <dataValidation errorStyle="warning" type="list" operator="equal" allowBlank="1" showInputMessage="1" showErrorMessage="1" promptTitle="リストから選択できます" prompt="リストから選択されることをお勧めします" errorTitle="リストから選択されませんでした" error="リストからの再入力をお勧めします" imeMode="halfAlpha" sqref="F162 F145 I42 G42">
      <formula1>"9,10,11,12,13,14,15,16,18,19,20,22,25,28,32,36,38,40,45,50"</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scale="93" r:id="rId1"/>
  <rowBreaks count="4" manualBreakCount="4">
    <brk id="62" max="255" man="1"/>
    <brk id="110" max="255" man="1"/>
    <brk id="135" max="8" man="1"/>
    <brk id="194" max="8" man="1"/>
  </rowBreaks>
</worksheet>
</file>

<file path=xl/worksheets/sheet7.xml><?xml version="1.0" encoding="utf-8"?>
<worksheet xmlns="http://schemas.openxmlformats.org/spreadsheetml/2006/main" xmlns:r="http://schemas.openxmlformats.org/officeDocument/2006/relationships">
  <sheetPr codeName="Sheet7"/>
  <dimension ref="A1:O310"/>
  <sheetViews>
    <sheetView zoomScale="80" zoomScaleNormal="80" zoomScalePageLayoutView="0" workbookViewId="0" topLeftCell="A1">
      <selection activeCell="I24" sqref="I24"/>
    </sheetView>
  </sheetViews>
  <sheetFormatPr defaultColWidth="9.00390625" defaultRowHeight="13.5"/>
  <cols>
    <col min="1" max="1" width="12.25390625" style="2" customWidth="1"/>
    <col min="2" max="2" width="10.125" style="2" customWidth="1"/>
    <col min="3" max="3" width="10.00390625" style="2" customWidth="1"/>
    <col min="4" max="4" width="9.875" style="2" customWidth="1"/>
    <col min="5" max="5" width="14.625" style="2" customWidth="1"/>
    <col min="6" max="6" width="7.375" style="2" customWidth="1"/>
    <col min="7" max="7" width="6.875" style="2" customWidth="1"/>
    <col min="8" max="8" width="7.125" style="2" customWidth="1"/>
    <col min="9" max="9" width="7.375" style="2" customWidth="1"/>
    <col min="10" max="10" width="8.00390625" style="2" customWidth="1"/>
    <col min="11" max="11" width="7.375" style="2" customWidth="1"/>
    <col min="12" max="16384" width="9.00390625" style="2" customWidth="1"/>
  </cols>
  <sheetData>
    <row r="1" ht="12">
      <c r="A1" s="2" t="s">
        <v>1084</v>
      </c>
    </row>
    <row r="2" ht="12">
      <c r="A2" s="2" t="s">
        <v>1085</v>
      </c>
    </row>
    <row r="3" ht="12">
      <c r="A3" s="2" t="s">
        <v>1086</v>
      </c>
    </row>
    <row r="4" spans="1:7" ht="12">
      <c r="A4" s="10" t="s">
        <v>528</v>
      </c>
      <c r="B4" s="10"/>
      <c r="F4" s="12">
        <f>D5*10</f>
        <v>6.5</v>
      </c>
      <c r="G4" s="2" t="s">
        <v>1087</v>
      </c>
    </row>
    <row r="5" spans="1:7" ht="12">
      <c r="A5" s="2" t="s">
        <v>1089</v>
      </c>
      <c r="B5" s="2">
        <f>'主桁'!H304</f>
        <v>220</v>
      </c>
      <c r="C5" s="5" t="s">
        <v>1090</v>
      </c>
      <c r="D5" s="64">
        <v>0.65</v>
      </c>
      <c r="E5" s="2" t="s">
        <v>1091</v>
      </c>
      <c r="F5" s="2">
        <f>B5*D5</f>
        <v>143</v>
      </c>
      <c r="G5" s="2" t="s">
        <v>567</v>
      </c>
    </row>
    <row r="6" ht="12">
      <c r="A6" s="2" t="s">
        <v>1092</v>
      </c>
    </row>
    <row r="7" spans="1:2" ht="12">
      <c r="A7" s="12">
        <f>ROUND(F5/152,2)</f>
        <v>0.94</v>
      </c>
      <c r="B7" s="2" t="s">
        <v>1278</v>
      </c>
    </row>
    <row r="8" spans="1:3" ht="12">
      <c r="A8" s="2" t="s">
        <v>1093</v>
      </c>
      <c r="B8" s="64">
        <v>12</v>
      </c>
      <c r="C8" s="2" t="s">
        <v>1083</v>
      </c>
    </row>
    <row r="9" ht="12">
      <c r="A9" s="2" t="s">
        <v>1094</v>
      </c>
    </row>
    <row r="10" ht="12">
      <c r="I10" s="2" t="s">
        <v>1095</v>
      </c>
    </row>
    <row r="11" spans="2:10" ht="12">
      <c r="B11" s="4" t="s">
        <v>1096</v>
      </c>
      <c r="C11" s="4"/>
      <c r="D11" s="4" t="s">
        <v>1097</v>
      </c>
      <c r="F11" s="2" t="s">
        <v>1098</v>
      </c>
      <c r="H11" s="2" t="s">
        <v>840</v>
      </c>
      <c r="J11" s="2" t="s">
        <v>1099</v>
      </c>
    </row>
    <row r="12" spans="1:15" ht="12">
      <c r="A12" s="2" t="s">
        <v>1100</v>
      </c>
      <c r="B12" s="64">
        <v>220</v>
      </c>
      <c r="C12" s="68" t="s">
        <v>1101</v>
      </c>
      <c r="D12" s="64">
        <v>36</v>
      </c>
      <c r="E12" s="5" t="s">
        <v>1102</v>
      </c>
      <c r="F12" s="2">
        <f>B12*D12/100</f>
        <v>79.2</v>
      </c>
      <c r="H12" s="12">
        <f>($B$13/2+D12/2)/10</f>
        <v>73.3</v>
      </c>
      <c r="J12" s="2">
        <f>F12*H12^2</f>
        <v>425532.888</v>
      </c>
      <c r="N12" s="2">
        <f>B12/10</f>
        <v>22</v>
      </c>
      <c r="O12" s="2">
        <f>D12/10</f>
        <v>3.6</v>
      </c>
    </row>
    <row r="13" spans="1:15" ht="12">
      <c r="A13" s="2" t="s">
        <v>1103</v>
      </c>
      <c r="B13" s="12">
        <f>F5*10</f>
        <v>1430</v>
      </c>
      <c r="C13" s="5" t="s">
        <v>1104</v>
      </c>
      <c r="D13" s="64">
        <v>36</v>
      </c>
      <c r="E13" s="5" t="s">
        <v>1105</v>
      </c>
      <c r="F13" s="2">
        <f>B13*D13/100</f>
        <v>514.8</v>
      </c>
      <c r="I13" s="5" t="s">
        <v>1106</v>
      </c>
      <c r="J13" s="2">
        <f>ROUND(D13*B13^3/12/10000,0)</f>
        <v>877262</v>
      </c>
      <c r="K13" s="2" t="s">
        <v>1107</v>
      </c>
      <c r="N13" s="2">
        <f>B13/10</f>
        <v>143</v>
      </c>
      <c r="O13" s="2">
        <f>D13/10</f>
        <v>3.6</v>
      </c>
    </row>
    <row r="14" spans="1:15" ht="12">
      <c r="A14" s="2" t="s">
        <v>1426</v>
      </c>
      <c r="B14" s="12">
        <f>B12</f>
        <v>220</v>
      </c>
      <c r="C14" s="5" t="s">
        <v>806</v>
      </c>
      <c r="D14" s="12">
        <f>D12</f>
        <v>36</v>
      </c>
      <c r="E14" s="5" t="s">
        <v>1108</v>
      </c>
      <c r="F14" s="2">
        <f>B14*D14/100</f>
        <v>79.2</v>
      </c>
      <c r="H14" s="12">
        <f>($B$13/2+D14/2)/10</f>
        <v>73.3</v>
      </c>
      <c r="J14" s="2">
        <f>F14*H14^2</f>
        <v>425532.888</v>
      </c>
      <c r="N14" s="2">
        <f>B14/10</f>
        <v>22</v>
      </c>
      <c r="O14" s="2">
        <f>D14/10</f>
        <v>3.6</v>
      </c>
    </row>
    <row r="15" spans="1:10" ht="12">
      <c r="A15" s="2" t="s">
        <v>1109</v>
      </c>
      <c r="F15" s="2">
        <f>SUM(F12:F14)</f>
        <v>673.2</v>
      </c>
      <c r="H15" s="5" t="s">
        <v>956</v>
      </c>
      <c r="I15" s="5" t="s">
        <v>1110</v>
      </c>
      <c r="J15" s="2">
        <f>SUM(J12:J14)</f>
        <v>1728327.776</v>
      </c>
    </row>
    <row r="16" ht="12">
      <c r="A16" s="2" t="s">
        <v>954</v>
      </c>
    </row>
    <row r="17" spans="1:9" ht="12">
      <c r="A17" s="2" t="s">
        <v>1010</v>
      </c>
      <c r="C17" s="2">
        <f>('主桁'!J316*2+'主桁'!J410*('床版'!C10-2))/'床版'!C10</f>
        <v>5477053.927999999</v>
      </c>
      <c r="D17" s="2" t="s">
        <v>1495</v>
      </c>
      <c r="H17" s="10"/>
      <c r="I17" s="10"/>
    </row>
    <row r="18" spans="1:9" ht="12">
      <c r="A18" s="2" t="s">
        <v>955</v>
      </c>
      <c r="C18" s="2">
        <f>ROUND(((C19/2/C20)^3)*J15/C17,0)</f>
        <v>117</v>
      </c>
      <c r="D18" s="9" t="str">
        <f>IF(C18&gt;=10,IF(C18&gt;=20,"OK","NG"),"NG")</f>
        <v>OK</v>
      </c>
      <c r="E18" s="2" t="str">
        <f>IF(C18&gt;=10,IF(C18&gt;=20,"&gt;=","&lt;="),"&lt;")</f>
        <v>&gt;=</v>
      </c>
      <c r="F18" s="2">
        <v>10</v>
      </c>
      <c r="H18" s="2" t="s">
        <v>527</v>
      </c>
      <c r="I18" s="10"/>
    </row>
    <row r="19" spans="1:9" ht="12">
      <c r="A19" s="2" t="s">
        <v>957</v>
      </c>
      <c r="C19" s="2">
        <f>'床版'!C6</f>
        <v>33</v>
      </c>
      <c r="D19" s="2" t="s">
        <v>1265</v>
      </c>
      <c r="H19" s="10"/>
      <c r="I19" s="10"/>
    </row>
    <row r="20" spans="1:9" ht="12">
      <c r="A20" s="2" t="s">
        <v>958</v>
      </c>
      <c r="C20" s="2">
        <f>'床版'!C12</f>
        <v>2.3</v>
      </c>
      <c r="D20" s="2" t="s">
        <v>1265</v>
      </c>
      <c r="H20" s="10"/>
      <c r="I20" s="10"/>
    </row>
    <row r="21" spans="8:9" ht="12">
      <c r="H21" s="10"/>
      <c r="I21" s="10"/>
    </row>
    <row r="22" spans="1:9" ht="12">
      <c r="A22" s="2" t="s">
        <v>959</v>
      </c>
      <c r="H22" s="10"/>
      <c r="I22" s="10"/>
    </row>
    <row r="23" ht="12">
      <c r="A23" s="2" t="s">
        <v>960</v>
      </c>
    </row>
    <row r="24" spans="1:5" ht="12">
      <c r="A24" s="2" t="s">
        <v>969</v>
      </c>
      <c r="D24" s="2">
        <f>F12</f>
        <v>79.2</v>
      </c>
      <c r="E24" s="2" t="s">
        <v>1277</v>
      </c>
    </row>
    <row r="25" spans="1:5" ht="12">
      <c r="A25" s="2" t="s">
        <v>961</v>
      </c>
      <c r="B25" s="2" t="s">
        <v>968</v>
      </c>
      <c r="D25" s="2">
        <f>0.75*'主桁'!E303</f>
        <v>1050</v>
      </c>
      <c r="E25" s="2" t="s">
        <v>1279</v>
      </c>
    </row>
    <row r="26" ht="12">
      <c r="A26" s="2" t="s">
        <v>962</v>
      </c>
    </row>
    <row r="27" spans="1:3" ht="12">
      <c r="A27" s="2" t="s">
        <v>963</v>
      </c>
      <c r="C27" s="2" t="s">
        <v>965</v>
      </c>
    </row>
    <row r="28" spans="1:3" ht="12">
      <c r="A28" s="2" t="s">
        <v>964</v>
      </c>
      <c r="B28" s="2">
        <f>4800*2</f>
        <v>9600</v>
      </c>
      <c r="C28" s="2" t="s">
        <v>966</v>
      </c>
    </row>
    <row r="29" spans="1:5" ht="12">
      <c r="A29" s="2" t="s">
        <v>967</v>
      </c>
      <c r="D29" s="2">
        <f>ROUND(D24*D25/B28,2)</f>
        <v>8.66</v>
      </c>
      <c r="E29" s="2" t="s">
        <v>1260</v>
      </c>
    </row>
    <row r="30" spans="1:5" ht="12">
      <c r="A30" s="2" t="s">
        <v>970</v>
      </c>
      <c r="D30" s="64">
        <v>4</v>
      </c>
      <c r="E30" s="2" t="s">
        <v>971</v>
      </c>
    </row>
    <row r="31" ht="12">
      <c r="A31" s="2" t="s">
        <v>972</v>
      </c>
    </row>
    <row r="32" ht="12">
      <c r="A32" s="2" t="s">
        <v>981</v>
      </c>
    </row>
    <row r="33" spans="1:3" ht="12">
      <c r="A33" s="2" t="s">
        <v>733</v>
      </c>
      <c r="B33" s="2">
        <f>SUM(B34:B36)</f>
        <v>220</v>
      </c>
      <c r="C33" s="2" t="s">
        <v>1264</v>
      </c>
    </row>
    <row r="34" spans="1:3" ht="12">
      <c r="A34" s="2" t="s">
        <v>973</v>
      </c>
      <c r="B34" s="8">
        <v>40</v>
      </c>
      <c r="C34" s="2" t="s">
        <v>1264</v>
      </c>
    </row>
    <row r="35" spans="1:3" ht="12">
      <c r="A35" s="2" t="s">
        <v>974</v>
      </c>
      <c r="B35" s="12">
        <f>B12-B34-B36</f>
        <v>140</v>
      </c>
      <c r="C35" s="2" t="s">
        <v>1264</v>
      </c>
    </row>
    <row r="36" spans="1:3" ht="12">
      <c r="A36" s="2" t="s">
        <v>975</v>
      </c>
      <c r="B36" s="8">
        <f>B34</f>
        <v>40</v>
      </c>
      <c r="C36" s="2" t="s">
        <v>1264</v>
      </c>
    </row>
    <row r="37" ht="12">
      <c r="A37" s="2" t="s">
        <v>734</v>
      </c>
    </row>
    <row r="38" spans="1:3" ht="12">
      <c r="A38" s="2" t="s">
        <v>604</v>
      </c>
      <c r="B38" s="8">
        <v>40</v>
      </c>
      <c r="C38" s="2" t="s">
        <v>1264</v>
      </c>
    </row>
    <row r="39" spans="1:3" ht="12">
      <c r="A39" s="2" t="s">
        <v>1297</v>
      </c>
      <c r="B39" s="64">
        <v>150</v>
      </c>
      <c r="C39" s="2" t="s">
        <v>1264</v>
      </c>
    </row>
    <row r="40" spans="1:3" ht="12">
      <c r="A40" s="2" t="s">
        <v>977</v>
      </c>
      <c r="B40" s="8">
        <v>85</v>
      </c>
      <c r="C40" s="2" t="s">
        <v>1264</v>
      </c>
    </row>
    <row r="41" spans="1:3" ht="12">
      <c r="A41" s="2" t="s">
        <v>978</v>
      </c>
      <c r="B41" s="10">
        <f>B39</f>
        <v>150</v>
      </c>
      <c r="C41" s="2" t="s">
        <v>1264</v>
      </c>
    </row>
    <row r="42" spans="1:3" ht="12">
      <c r="A42" s="2" t="s">
        <v>979</v>
      </c>
      <c r="B42" s="2">
        <f>B38</f>
        <v>40</v>
      </c>
      <c r="C42" s="2" t="s">
        <v>1264</v>
      </c>
    </row>
    <row r="43" spans="1:3" ht="12">
      <c r="A43" s="2" t="s">
        <v>751</v>
      </c>
      <c r="B43" s="2">
        <f>SUM(B38:B42)</f>
        <v>465</v>
      </c>
      <c r="C43" s="2" t="s">
        <v>1264</v>
      </c>
    </row>
    <row r="44" ht="12">
      <c r="A44" s="2" t="s">
        <v>980</v>
      </c>
    </row>
    <row r="45" ht="12">
      <c r="A45" s="2" t="s">
        <v>733</v>
      </c>
    </row>
    <row r="46" spans="1:3" ht="12">
      <c r="A46" s="2" t="s">
        <v>973</v>
      </c>
      <c r="B46" s="2">
        <f>B34</f>
        <v>40</v>
      </c>
      <c r="C46" s="2" t="s">
        <v>1264</v>
      </c>
    </row>
    <row r="47" spans="1:3" ht="12">
      <c r="A47" s="2" t="s">
        <v>974</v>
      </c>
      <c r="B47" s="2">
        <f>B35</f>
        <v>140</v>
      </c>
      <c r="C47" s="2" t="s">
        <v>1264</v>
      </c>
    </row>
    <row r="48" spans="1:3" ht="12">
      <c r="A48" s="2" t="s">
        <v>975</v>
      </c>
      <c r="B48" s="2">
        <f>B36</f>
        <v>40</v>
      </c>
      <c r="C48" s="2" t="s">
        <v>1264</v>
      </c>
    </row>
    <row r="49" spans="1:3" ht="12">
      <c r="A49" s="2" t="s">
        <v>751</v>
      </c>
      <c r="B49" s="2">
        <f>B46+B47+B48</f>
        <v>220</v>
      </c>
      <c r="C49" s="2" t="s">
        <v>1264</v>
      </c>
    </row>
    <row r="50" spans="1:3" ht="12">
      <c r="A50" s="2">
        <v>1</v>
      </c>
      <c r="B50" s="2">
        <f>(B49-B51)/2</f>
        <v>92</v>
      </c>
      <c r="C50" s="2" t="s">
        <v>1264</v>
      </c>
    </row>
    <row r="51" spans="1:3" ht="12">
      <c r="A51" s="2">
        <v>2</v>
      </c>
      <c r="B51" s="2">
        <f>D13</f>
        <v>36</v>
      </c>
      <c r="C51" s="2" t="s">
        <v>1264</v>
      </c>
    </row>
    <row r="52" ht="12">
      <c r="A52" s="2" t="s">
        <v>734</v>
      </c>
    </row>
    <row r="53" spans="1:3" ht="12">
      <c r="A53" s="2" t="s">
        <v>604</v>
      </c>
      <c r="B53" s="64">
        <v>10</v>
      </c>
      <c r="C53" s="2" t="s">
        <v>1264</v>
      </c>
    </row>
    <row r="54" spans="1:3" ht="12">
      <c r="A54" s="2" t="s">
        <v>1297</v>
      </c>
      <c r="B54" s="2">
        <f>D12</f>
        <v>36</v>
      </c>
      <c r="C54" s="2" t="s">
        <v>1264</v>
      </c>
    </row>
    <row r="55" spans="1:3" ht="12">
      <c r="A55" s="2" t="s">
        <v>977</v>
      </c>
      <c r="B55" s="12">
        <f>B53</f>
        <v>10</v>
      </c>
      <c r="C55" s="2" t="s">
        <v>1264</v>
      </c>
    </row>
    <row r="57" spans="1:2" ht="12">
      <c r="A57" s="2" t="s">
        <v>982</v>
      </c>
      <c r="B57" s="3" t="s">
        <v>983</v>
      </c>
    </row>
    <row r="58" spans="1:9" ht="12">
      <c r="A58" s="2" t="s">
        <v>984</v>
      </c>
      <c r="B58" s="2" t="s">
        <v>986</v>
      </c>
      <c r="I58" s="2" t="s">
        <v>989</v>
      </c>
    </row>
    <row r="59" ht="12">
      <c r="A59" s="2" t="s">
        <v>987</v>
      </c>
    </row>
    <row r="60" spans="1:10" ht="12">
      <c r="A60" s="2">
        <f>B49*B53/100</f>
        <v>22</v>
      </c>
      <c r="B60" s="5" t="s">
        <v>988</v>
      </c>
      <c r="C60" s="64">
        <v>2</v>
      </c>
      <c r="D60" s="5" t="s">
        <v>1266</v>
      </c>
      <c r="E60" s="12">
        <f>'外桁継手'!F157</f>
        <v>2.5</v>
      </c>
      <c r="F60" s="5" t="s">
        <v>1266</v>
      </c>
      <c r="G60" s="2">
        <f>B53/10</f>
        <v>1</v>
      </c>
      <c r="H60" s="2" t="s">
        <v>1267</v>
      </c>
      <c r="I60" s="2">
        <f>A60-C60*E60*G60</f>
        <v>17</v>
      </c>
      <c r="J60" s="2" t="s">
        <v>1277</v>
      </c>
    </row>
    <row r="61" spans="1:3" ht="12">
      <c r="A61" s="2" t="s">
        <v>985</v>
      </c>
      <c r="B61" s="2" t="s">
        <v>986</v>
      </c>
      <c r="C61" s="66"/>
    </row>
    <row r="62" spans="1:3" ht="12">
      <c r="A62" s="2" t="s">
        <v>987</v>
      </c>
      <c r="C62" s="66"/>
    </row>
    <row r="63" spans="1:10" ht="12">
      <c r="A63" s="2">
        <f>B50*B55/100</f>
        <v>9.2</v>
      </c>
      <c r="B63" s="5" t="s">
        <v>988</v>
      </c>
      <c r="C63" s="64">
        <v>1</v>
      </c>
      <c r="D63" s="5" t="s">
        <v>1266</v>
      </c>
      <c r="E63" s="12">
        <f>'外桁継手'!F157</f>
        <v>2.5</v>
      </c>
      <c r="F63" s="5" t="s">
        <v>1266</v>
      </c>
      <c r="G63" s="2">
        <f>B55/10</f>
        <v>1</v>
      </c>
      <c r="H63" s="2" t="s">
        <v>1267</v>
      </c>
      <c r="I63" s="2">
        <f>A63-C63*E63*G63</f>
        <v>6.699999999999999</v>
      </c>
      <c r="J63" s="2" t="s">
        <v>1277</v>
      </c>
    </row>
    <row r="64" spans="1:10" ht="12" customHeight="1">
      <c r="A64" s="2">
        <f>A60+A63</f>
        <v>31.2</v>
      </c>
      <c r="B64" s="2" t="s">
        <v>1277</v>
      </c>
      <c r="I64" s="2">
        <f>I60+I63</f>
        <v>23.7</v>
      </c>
      <c r="J64" s="2" t="s">
        <v>1277</v>
      </c>
    </row>
    <row r="65" spans="1:9" ht="12">
      <c r="A65" s="2" t="s">
        <v>990</v>
      </c>
      <c r="C65" s="2" t="s">
        <v>992</v>
      </c>
      <c r="D65" s="2">
        <f>ROUND(D25*A60/A64,0)</f>
        <v>740</v>
      </c>
      <c r="E65" s="2" t="s">
        <v>1279</v>
      </c>
      <c r="F65" s="5" t="str">
        <f>IF(D65&lt;G65,"&lt;","&gt;")</f>
        <v>&lt;</v>
      </c>
      <c r="G65" s="12">
        <f>'主桁'!E303</f>
        <v>1400</v>
      </c>
      <c r="H65" s="2" t="s">
        <v>1279</v>
      </c>
      <c r="I65" s="9" t="str">
        <f>IF(D65&lt;G65,"OK","NG")</f>
        <v>OK</v>
      </c>
    </row>
    <row r="66" spans="1:9" ht="12">
      <c r="A66" s="2" t="s">
        <v>991</v>
      </c>
      <c r="C66" s="2" t="s">
        <v>992</v>
      </c>
      <c r="D66" s="2">
        <f>ROUND(D25*A60/I64,0)</f>
        <v>975</v>
      </c>
      <c r="E66" s="2" t="s">
        <v>1279</v>
      </c>
      <c r="F66" s="5" t="str">
        <f>IF(D66&lt;G66,"&lt;","&gt;")</f>
        <v>&lt;</v>
      </c>
      <c r="G66" s="12">
        <f>'主桁'!E303</f>
        <v>1400</v>
      </c>
      <c r="H66" s="2" t="s">
        <v>1279</v>
      </c>
      <c r="I66" s="9" t="str">
        <f>IF(D66&lt;G66,"OK","NG")</f>
        <v>OK</v>
      </c>
    </row>
    <row r="67" ht="12">
      <c r="A67" s="2" t="s">
        <v>993</v>
      </c>
    </row>
    <row r="68" spans="1:9" ht="12">
      <c r="A68" s="2" t="s">
        <v>994</v>
      </c>
      <c r="C68" s="2">
        <f>'主桁'!E303</f>
        <v>1400</v>
      </c>
      <c r="D68" s="2" t="s">
        <v>1279</v>
      </c>
      <c r="E68" s="2" t="s">
        <v>1464</v>
      </c>
      <c r="F68" s="2" t="s">
        <v>1267</v>
      </c>
      <c r="H68" s="2">
        <f>C68*0.75</f>
        <v>1050</v>
      </c>
      <c r="I68" s="2" t="s">
        <v>1279</v>
      </c>
    </row>
    <row r="69" spans="1:5" ht="12">
      <c r="A69" s="2" t="s">
        <v>997</v>
      </c>
      <c r="E69" s="2" t="s">
        <v>1003</v>
      </c>
    </row>
    <row r="70" spans="1:10" ht="12">
      <c r="A70" s="19" t="s">
        <v>998</v>
      </c>
      <c r="B70" s="19"/>
      <c r="C70" s="19">
        <f>C81-C71*2</f>
        <v>1430</v>
      </c>
      <c r="D70" s="19" t="s">
        <v>1264</v>
      </c>
      <c r="E70" s="19" t="s">
        <v>733</v>
      </c>
      <c r="F70" s="19"/>
      <c r="G70" s="19"/>
      <c r="H70" s="19" t="s">
        <v>734</v>
      </c>
      <c r="I70" s="19"/>
      <c r="J70" s="19"/>
    </row>
    <row r="71" spans="1:12" ht="12">
      <c r="A71" s="19" t="s">
        <v>603</v>
      </c>
      <c r="B71" s="19"/>
      <c r="C71" s="19">
        <f>D12</f>
        <v>36</v>
      </c>
      <c r="D71" s="19" t="s">
        <v>1264</v>
      </c>
      <c r="E71" s="19" t="s">
        <v>603</v>
      </c>
      <c r="F71" s="19">
        <f>C71</f>
        <v>36</v>
      </c>
      <c r="G71" s="19" t="s">
        <v>1264</v>
      </c>
      <c r="H71" s="19" t="s">
        <v>604</v>
      </c>
      <c r="I71" s="19">
        <f>D25</f>
        <v>1050</v>
      </c>
      <c r="J71" s="19" t="s">
        <v>1279</v>
      </c>
      <c r="L71" s="2">
        <f>F71/10</f>
        <v>3.6</v>
      </c>
    </row>
    <row r="72" spans="1:12" ht="12">
      <c r="A72" s="19" t="s">
        <v>973</v>
      </c>
      <c r="B72" s="19"/>
      <c r="C72" s="24">
        <v>55</v>
      </c>
      <c r="D72" s="19" t="s">
        <v>1264</v>
      </c>
      <c r="E72" s="19" t="s">
        <v>973</v>
      </c>
      <c r="F72" s="19">
        <f>C75/2+C73+C72</f>
        <v>172.5</v>
      </c>
      <c r="G72" s="19" t="s">
        <v>1264</v>
      </c>
      <c r="H72" s="19" t="s">
        <v>1297</v>
      </c>
      <c r="I72" s="19">
        <f>ROUND($I$71*F80/$F$79,0)</f>
        <v>1000</v>
      </c>
      <c r="J72" s="19" t="s">
        <v>1279</v>
      </c>
      <c r="L72" s="2">
        <f>F72/10</f>
        <v>17.25</v>
      </c>
    </row>
    <row r="73" spans="1:12" ht="12">
      <c r="A73" s="19" t="s">
        <v>974</v>
      </c>
      <c r="B73" s="19"/>
      <c r="C73" s="24">
        <v>40</v>
      </c>
      <c r="D73" s="19" t="s">
        <v>1264</v>
      </c>
      <c r="E73" s="19" t="s">
        <v>974</v>
      </c>
      <c r="F73" s="19">
        <f>C75</f>
        <v>155</v>
      </c>
      <c r="G73" s="19" t="s">
        <v>1264</v>
      </c>
      <c r="H73" s="19" t="s">
        <v>977</v>
      </c>
      <c r="I73" s="19">
        <f>ROUND($I$71*F81/$F$79,0)</f>
        <v>758</v>
      </c>
      <c r="J73" s="19" t="s">
        <v>1279</v>
      </c>
      <c r="L73" s="2">
        <f>F73/10</f>
        <v>15.5</v>
      </c>
    </row>
    <row r="74" spans="1:12" ht="12">
      <c r="A74" s="19" t="s">
        <v>1001</v>
      </c>
      <c r="B74" s="19"/>
      <c r="C74" s="69">
        <v>8</v>
      </c>
      <c r="D74" s="19"/>
      <c r="E74" s="19" t="s">
        <v>975</v>
      </c>
      <c r="F74" s="19">
        <f>C75</f>
        <v>155</v>
      </c>
      <c r="G74" s="19" t="s">
        <v>1264</v>
      </c>
      <c r="H74" s="19" t="s">
        <v>978</v>
      </c>
      <c r="I74" s="19">
        <f>ROUND($I$71*F82/$F$79,0)</f>
        <v>542</v>
      </c>
      <c r="J74" s="19" t="s">
        <v>1279</v>
      </c>
      <c r="L74" s="2">
        <f>F74/10</f>
        <v>15.5</v>
      </c>
    </row>
    <row r="75" spans="1:12" ht="12">
      <c r="A75" s="19" t="s">
        <v>1000</v>
      </c>
      <c r="B75" s="19"/>
      <c r="C75" s="69">
        <v>155</v>
      </c>
      <c r="D75" s="19" t="s">
        <v>1264</v>
      </c>
      <c r="E75" s="19" t="s">
        <v>1004</v>
      </c>
      <c r="F75" s="32">
        <f>F76-F74-F73-F72-F71</f>
        <v>232.5</v>
      </c>
      <c r="G75" s="19" t="s">
        <v>1264</v>
      </c>
      <c r="H75" s="19" t="s">
        <v>979</v>
      </c>
      <c r="I75" s="19">
        <f>ROUND($I$71*F83/$F$79,0)</f>
        <v>325</v>
      </c>
      <c r="J75" s="19" t="s">
        <v>1279</v>
      </c>
      <c r="L75" s="2">
        <f>F75/10</f>
        <v>23.25</v>
      </c>
    </row>
    <row r="76" spans="1:7" ht="12">
      <c r="A76" s="19" t="s">
        <v>975</v>
      </c>
      <c r="B76" s="19"/>
      <c r="C76" s="19">
        <f>C74*C75</f>
        <v>1240</v>
      </c>
      <c r="D76" s="19" t="s">
        <v>1264</v>
      </c>
      <c r="E76" s="2" t="s">
        <v>1005</v>
      </c>
      <c r="F76" s="2">
        <f>C81/2</f>
        <v>751</v>
      </c>
      <c r="G76" s="2" t="s">
        <v>1264</v>
      </c>
    </row>
    <row r="77" spans="1:5" ht="12">
      <c r="A77" s="19" t="s">
        <v>1002</v>
      </c>
      <c r="B77" s="19"/>
      <c r="C77" s="32">
        <f>(C81-C71*2-C72*2-C73*2-C76)/2</f>
        <v>0</v>
      </c>
      <c r="D77" s="19" t="s">
        <v>1264</v>
      </c>
      <c r="E77" s="2" t="s">
        <v>1006</v>
      </c>
    </row>
    <row r="78" spans="1:5" ht="12">
      <c r="A78" s="19" t="s">
        <v>976</v>
      </c>
      <c r="B78" s="19"/>
      <c r="C78" s="19">
        <f>C73</f>
        <v>40</v>
      </c>
      <c r="D78" s="19" t="s">
        <v>1264</v>
      </c>
      <c r="E78" s="2" t="s">
        <v>1007</v>
      </c>
    </row>
    <row r="79" spans="1:10" ht="12">
      <c r="A79" s="19" t="s">
        <v>995</v>
      </c>
      <c r="B79" s="19"/>
      <c r="C79" s="19">
        <f>C72</f>
        <v>55</v>
      </c>
      <c r="D79" s="19" t="s">
        <v>1264</v>
      </c>
      <c r="E79" s="2">
        <v>1</v>
      </c>
      <c r="F79" s="2">
        <f>F76</f>
        <v>751</v>
      </c>
      <c r="G79" s="2" t="s">
        <v>1264</v>
      </c>
      <c r="J79" s="2">
        <f>C73+C72</f>
        <v>95</v>
      </c>
    </row>
    <row r="80" spans="1:7" ht="12">
      <c r="A80" s="19" t="s">
        <v>996</v>
      </c>
      <c r="B80" s="19"/>
      <c r="C80" s="19">
        <f>D14</f>
        <v>36</v>
      </c>
      <c r="D80" s="19" t="s">
        <v>1264</v>
      </c>
      <c r="E80" s="2">
        <v>2</v>
      </c>
      <c r="F80" s="2">
        <f>F79-F71</f>
        <v>715</v>
      </c>
      <c r="G80" s="2" t="s">
        <v>1264</v>
      </c>
    </row>
    <row r="81" spans="1:7" ht="12">
      <c r="A81" s="19" t="s">
        <v>751</v>
      </c>
      <c r="B81" s="19"/>
      <c r="C81" s="19">
        <f>C71*2+B13</f>
        <v>1502</v>
      </c>
      <c r="D81" s="19" t="s">
        <v>1264</v>
      </c>
      <c r="E81" s="2">
        <v>3</v>
      </c>
      <c r="F81" s="2">
        <f>F80-F72</f>
        <v>542.5</v>
      </c>
      <c r="G81" s="2" t="s">
        <v>1264</v>
      </c>
    </row>
    <row r="82" spans="1:7" ht="12">
      <c r="A82" s="19" t="s">
        <v>999</v>
      </c>
      <c r="B82" s="19"/>
      <c r="C82" s="19"/>
      <c r="D82" s="19"/>
      <c r="E82" s="2">
        <v>4</v>
      </c>
      <c r="F82" s="2">
        <f>F81-F73</f>
        <v>387.5</v>
      </c>
      <c r="G82" s="2" t="s">
        <v>1264</v>
      </c>
    </row>
    <row r="83" spans="1:7" ht="12">
      <c r="A83" s="2">
        <v>1</v>
      </c>
      <c r="C83" s="2">
        <f>C81-C71*2-C72*2</f>
        <v>1320</v>
      </c>
      <c r="D83" s="2" t="s">
        <v>1264</v>
      </c>
      <c r="E83" s="2">
        <v>5</v>
      </c>
      <c r="F83" s="2">
        <f>F82-F74</f>
        <v>232.5</v>
      </c>
      <c r="G83" s="2" t="s">
        <v>1264</v>
      </c>
    </row>
    <row r="84" spans="1:4" ht="12">
      <c r="A84" s="19" t="s">
        <v>734</v>
      </c>
      <c r="B84" s="19"/>
      <c r="C84" s="19"/>
      <c r="D84" s="19"/>
    </row>
    <row r="85" spans="1:4" ht="12">
      <c r="A85" s="19" t="s">
        <v>604</v>
      </c>
      <c r="B85" s="19"/>
      <c r="C85" s="24">
        <v>40</v>
      </c>
      <c r="D85" s="19" t="s">
        <v>1264</v>
      </c>
    </row>
    <row r="86" spans="1:4" ht="12">
      <c r="A86" s="19" t="s">
        <v>1297</v>
      </c>
      <c r="B86" s="19"/>
      <c r="C86" s="69">
        <v>75</v>
      </c>
      <c r="D86" s="19" t="s">
        <v>1264</v>
      </c>
    </row>
    <row r="87" spans="1:4" ht="12">
      <c r="A87" s="19" t="s">
        <v>977</v>
      </c>
      <c r="B87" s="19"/>
      <c r="C87" s="24">
        <v>85</v>
      </c>
      <c r="D87" s="19" t="s">
        <v>1264</v>
      </c>
    </row>
    <row r="88" spans="1:4" ht="12">
      <c r="A88" s="19" t="s">
        <v>978</v>
      </c>
      <c r="B88" s="19"/>
      <c r="C88" s="32">
        <f>C86</f>
        <v>75</v>
      </c>
      <c r="D88" s="19" t="s">
        <v>1264</v>
      </c>
    </row>
    <row r="89" spans="1:4" ht="12">
      <c r="A89" s="19" t="s">
        <v>979</v>
      </c>
      <c r="B89" s="19"/>
      <c r="C89" s="32">
        <f>C85</f>
        <v>40</v>
      </c>
      <c r="D89" s="19" t="s">
        <v>1264</v>
      </c>
    </row>
    <row r="90" spans="1:4" ht="12">
      <c r="A90" s="19" t="s">
        <v>751</v>
      </c>
      <c r="B90" s="19"/>
      <c r="C90" s="32">
        <f>SUM(C85:C89)</f>
        <v>315</v>
      </c>
      <c r="D90" s="19" t="s">
        <v>1264</v>
      </c>
    </row>
    <row r="92" spans="1:5" ht="12">
      <c r="A92" s="2" t="s">
        <v>588</v>
      </c>
      <c r="B92" s="2">
        <f>B28</f>
        <v>9600</v>
      </c>
      <c r="C92" s="2" t="s">
        <v>589</v>
      </c>
      <c r="E92" s="64">
        <v>1</v>
      </c>
    </row>
    <row r="93" spans="1:4" ht="12">
      <c r="A93" s="2" t="s">
        <v>590</v>
      </c>
      <c r="C93" s="64">
        <v>2</v>
      </c>
      <c r="D93" s="2" t="s">
        <v>1536</v>
      </c>
    </row>
    <row r="94" spans="1:8" ht="12">
      <c r="A94" s="2" t="s">
        <v>591</v>
      </c>
      <c r="C94" s="2">
        <f>ROUND((I72+I73)*F72/10*0.5*$E$92/C93,0)</f>
        <v>7581</v>
      </c>
      <c r="D94" s="2" t="s">
        <v>589</v>
      </c>
      <c r="E94" s="5" t="str">
        <f>IF(C94&lt;F94,"&lt;","&gt;")</f>
        <v>&lt;</v>
      </c>
      <c r="F94" s="2">
        <f>B92</f>
        <v>9600</v>
      </c>
      <c r="G94" s="2" t="s">
        <v>589</v>
      </c>
      <c r="H94" s="9" t="str">
        <f>IF(C94&lt;F94,"OK","NG")</f>
        <v>OK</v>
      </c>
    </row>
    <row r="96" spans="1:4" ht="12">
      <c r="A96" s="2" t="s">
        <v>592</v>
      </c>
      <c r="C96" s="64">
        <v>2</v>
      </c>
      <c r="D96" s="2" t="s">
        <v>1536</v>
      </c>
    </row>
    <row r="97" spans="1:8" ht="12">
      <c r="A97" s="2" t="s">
        <v>593</v>
      </c>
      <c r="C97" s="2">
        <f>ROUND((I73+I74)*F73/10*0.5*$E$92/C96,0)</f>
        <v>5038</v>
      </c>
      <c r="D97" s="2" t="s">
        <v>589</v>
      </c>
      <c r="E97" s="5" t="str">
        <f>IF(C97&lt;F97,"&lt;","&gt;")</f>
        <v>&lt;</v>
      </c>
      <c r="F97" s="2">
        <f>F94</f>
        <v>9600</v>
      </c>
      <c r="G97" s="2" t="s">
        <v>589</v>
      </c>
      <c r="H97" s="9" t="str">
        <f>IF(C97&lt;F97,"OK","NG")</f>
        <v>OK</v>
      </c>
    </row>
    <row r="99" spans="1:4" ht="12">
      <c r="A99" s="8" t="s">
        <v>594</v>
      </c>
      <c r="C99" s="64">
        <v>2</v>
      </c>
      <c r="D99" s="2" t="s">
        <v>1536</v>
      </c>
    </row>
    <row r="100" spans="1:8" ht="12">
      <c r="A100" s="2" t="s">
        <v>595</v>
      </c>
      <c r="C100" s="2">
        <f>ROUND((I74+I75)*F74/10*0.5*$E$92/C99,0)</f>
        <v>3360</v>
      </c>
      <c r="D100" s="2" t="s">
        <v>589</v>
      </c>
      <c r="E100" s="5" t="str">
        <f>IF(C100&lt;F100,"&lt;","&gt;")</f>
        <v>&lt;</v>
      </c>
      <c r="F100" s="2">
        <f>F97</f>
        <v>9600</v>
      </c>
      <c r="G100" s="2" t="s">
        <v>589</v>
      </c>
      <c r="H100" s="9" t="str">
        <f>IF(C100&lt;F100,"OK","NG")</f>
        <v>OK</v>
      </c>
    </row>
    <row r="102" ht="12">
      <c r="A102" s="2" t="s">
        <v>596</v>
      </c>
    </row>
    <row r="103" ht="12">
      <c r="A103" s="12"/>
    </row>
    <row r="104" ht="12">
      <c r="A104" s="2" t="s">
        <v>620</v>
      </c>
    </row>
    <row r="105" ht="12">
      <c r="A105" s="2" t="s">
        <v>900</v>
      </c>
    </row>
    <row r="106" spans="1:5" ht="12">
      <c r="A106" s="10">
        <f>C81-C71*2-C72*2</f>
        <v>1320</v>
      </c>
      <c r="B106" s="5" t="s">
        <v>1266</v>
      </c>
      <c r="C106" s="2">
        <f>C90</f>
        <v>315</v>
      </c>
      <c r="D106" s="5" t="s">
        <v>1266</v>
      </c>
      <c r="E106" s="12">
        <f>C71</f>
        <v>36</v>
      </c>
    </row>
    <row r="107" ht="12">
      <c r="A107" s="2" t="s">
        <v>903</v>
      </c>
    </row>
    <row r="108" spans="1:3" ht="12">
      <c r="A108" s="12" t="s">
        <v>905</v>
      </c>
      <c r="B108" s="12"/>
      <c r="C108" s="12"/>
    </row>
    <row r="109" spans="1:3" ht="12">
      <c r="A109" s="2" t="s">
        <v>906</v>
      </c>
      <c r="B109" s="2">
        <f>A110*C110*E110^2*H110</f>
        <v>12269400</v>
      </c>
      <c r="C109" s="2" t="s">
        <v>912</v>
      </c>
    </row>
    <row r="110" spans="1:8" ht="12">
      <c r="A110" s="2">
        <f>I72</f>
        <v>1000</v>
      </c>
      <c r="B110" s="5" t="s">
        <v>1266</v>
      </c>
      <c r="C110" s="63">
        <f>2/3</f>
        <v>0.6666666666666666</v>
      </c>
      <c r="D110" s="5" t="s">
        <v>1266</v>
      </c>
      <c r="E110" s="8">
        <f>(C81-C71*2)/2/10</f>
        <v>71.5</v>
      </c>
      <c r="F110" s="2" t="s">
        <v>911</v>
      </c>
      <c r="G110" s="5" t="s">
        <v>1266</v>
      </c>
      <c r="H110" s="8">
        <f>C71/10</f>
        <v>3.6</v>
      </c>
    </row>
    <row r="111" ht="12">
      <c r="A111" s="2" t="s">
        <v>907</v>
      </c>
    </row>
    <row r="112" spans="1:4" ht="12">
      <c r="A112" s="2" t="s">
        <v>908</v>
      </c>
      <c r="B112" s="28">
        <v>2</v>
      </c>
      <c r="C112" s="5" t="s">
        <v>1266</v>
      </c>
      <c r="D112" s="2" t="s">
        <v>913</v>
      </c>
    </row>
    <row r="113" spans="1:3" ht="12">
      <c r="A113" s="2" t="s">
        <v>1297</v>
      </c>
      <c r="B113" s="27">
        <f>C71/10</f>
        <v>3.6</v>
      </c>
      <c r="C113" s="5"/>
    </row>
    <row r="114" spans="1:3" ht="12">
      <c r="A114" s="2" t="s">
        <v>1055</v>
      </c>
      <c r="B114" s="28">
        <f>C83/10</f>
        <v>132</v>
      </c>
      <c r="C114" s="5"/>
    </row>
    <row r="115" spans="1:3" ht="12">
      <c r="A115" s="2" t="s">
        <v>1010</v>
      </c>
      <c r="B115" s="2">
        <f>ROUND(B112*(B113*B114^3)/12,0)</f>
        <v>1379981</v>
      </c>
      <c r="C115" s="2" t="s">
        <v>1495</v>
      </c>
    </row>
    <row r="116" ht="12">
      <c r="A116" s="2" t="s">
        <v>909</v>
      </c>
    </row>
    <row r="117" spans="1:7" ht="12">
      <c r="A117" s="2" t="s">
        <v>910</v>
      </c>
      <c r="B117" s="2">
        <f>ROUND(B109/B115*B118,0)</f>
        <v>587</v>
      </c>
      <c r="C117" s="2" t="s">
        <v>1279</v>
      </c>
      <c r="D117" s="5" t="str">
        <f>IF(B117&lt;E117,"&lt;","&gt;")</f>
        <v>&lt;</v>
      </c>
      <c r="E117" s="12">
        <f>'主桁'!E303</f>
        <v>1400</v>
      </c>
      <c r="F117" s="2" t="s">
        <v>1279</v>
      </c>
      <c r="G117" s="9" t="str">
        <f>IF(B117&lt;E117,"OK","NG")</f>
        <v>OK</v>
      </c>
    </row>
    <row r="118" spans="1:2" ht="12">
      <c r="A118" s="2" t="s">
        <v>914</v>
      </c>
      <c r="B118" s="12">
        <f>C83/10/2</f>
        <v>66</v>
      </c>
    </row>
    <row r="120" ht="12">
      <c r="A120" s="3" t="s">
        <v>915</v>
      </c>
    </row>
    <row r="121" ht="12">
      <c r="A121" s="3" t="s">
        <v>916</v>
      </c>
    </row>
    <row r="122" spans="1:11" ht="12">
      <c r="A122" s="2" t="s">
        <v>918</v>
      </c>
      <c r="B122" s="2">
        <f>D13/10</f>
        <v>3.6</v>
      </c>
      <c r="C122" s="2" t="s">
        <v>1278</v>
      </c>
      <c r="D122" s="2" t="s">
        <v>919</v>
      </c>
      <c r="J122" s="2">
        <f>B122*10</f>
        <v>36</v>
      </c>
      <c r="K122" s="2" t="s">
        <v>1264</v>
      </c>
    </row>
    <row r="123" spans="1:11" ht="12">
      <c r="A123" s="2" t="s">
        <v>833</v>
      </c>
      <c r="B123" s="2">
        <f>B13/10</f>
        <v>143</v>
      </c>
      <c r="C123" s="2" t="s">
        <v>1278</v>
      </c>
      <c r="D123" s="2">
        <f>ROUND(B123/152,2)</f>
        <v>0.94</v>
      </c>
      <c r="E123" s="5" t="str">
        <f>IF(D123&lt;G123,"&lt;","&gt;")</f>
        <v>&lt;</v>
      </c>
      <c r="F123" s="2" t="s">
        <v>920</v>
      </c>
      <c r="G123" s="8">
        <v>1</v>
      </c>
      <c r="J123" s="2">
        <f>B123*10</f>
        <v>1430</v>
      </c>
      <c r="K123" s="2" t="s">
        <v>1264</v>
      </c>
    </row>
    <row r="124" spans="1:3" ht="12">
      <c r="A124" s="2" t="s">
        <v>921</v>
      </c>
      <c r="C124" s="2" t="str">
        <f>IF(D123&lt;G123,"用いなくてよい",IF(B123/256&lt;B122,"水平補剛材を1段用いる","水平補剛材を2段用いる"))</f>
        <v>用いなくてよい</v>
      </c>
    </row>
    <row r="125" spans="1:5" ht="12">
      <c r="A125" s="2" t="str">
        <f>IF(D123&lt;G123,"h/152",IF(B123/256&lt;B122,"h/256","h/310"))</f>
        <v>h/152</v>
      </c>
      <c r="C125" s="2">
        <f>IF(D123&lt;G123,D123,IF(B123/256&lt;B122,B123/256,B123/310))</f>
        <v>0.94</v>
      </c>
      <c r="E125" s="2" t="s">
        <v>832</v>
      </c>
    </row>
    <row r="126" spans="1:3" ht="12">
      <c r="A126" s="2" t="str">
        <f>IF(D123&lt;G123,"なし",IF(B123/256&lt;B122,"水平補剛材を1段0.2hのところに用いる","水平補剛材を2段（0.14hと0.36hのところに用いる"))</f>
        <v>なし</v>
      </c>
      <c r="B126" s="2" t="str">
        <f>IF(D123&lt;G123,"0",IF(B123/256&lt;B122,"1","2"))</f>
        <v>0</v>
      </c>
      <c r="C126" s="2" t="s">
        <v>1457</v>
      </c>
    </row>
    <row r="136" ht="12">
      <c r="A136" s="2" t="s">
        <v>917</v>
      </c>
    </row>
    <row r="137" spans="1:7" ht="12">
      <c r="A137" s="2" t="s">
        <v>1240</v>
      </c>
      <c r="B137" s="2">
        <f>B123</f>
        <v>143</v>
      </c>
      <c r="C137" s="2" t="s">
        <v>1278</v>
      </c>
      <c r="D137" s="5" t="str">
        <f>IF(B137&gt;F137,"&gt;","&lt;")</f>
        <v>&lt;</v>
      </c>
      <c r="E137" s="2" t="s">
        <v>922</v>
      </c>
      <c r="F137" s="2">
        <f>70*B122</f>
        <v>252</v>
      </c>
      <c r="G137" s="2" t="s">
        <v>1278</v>
      </c>
    </row>
    <row r="138" spans="2:4" ht="12">
      <c r="B138" s="2" t="s">
        <v>923</v>
      </c>
      <c r="D138" s="2" t="str">
        <f>IF(B137&lt;F137,"用いなくてよい","用いる")</f>
        <v>用いなくてよい</v>
      </c>
    </row>
    <row r="139" ht="12">
      <c r="A139" s="2" t="s">
        <v>1434</v>
      </c>
    </row>
    <row r="140" spans="1:4" ht="12">
      <c r="A140" s="2">
        <f>'床版'!C12*1000</f>
        <v>2300</v>
      </c>
      <c r="B140" s="2" t="s">
        <v>926</v>
      </c>
      <c r="C140" s="64">
        <v>1</v>
      </c>
      <c r="D140" s="2" t="s">
        <v>924</v>
      </c>
    </row>
    <row r="141" spans="1:5" ht="12">
      <c r="A141" s="2" t="s">
        <v>925</v>
      </c>
      <c r="B141" s="12">
        <f>A140/(C140+1)</f>
        <v>1150</v>
      </c>
      <c r="C141" s="2" t="s">
        <v>1264</v>
      </c>
      <c r="D141" s="2">
        <f>B141/10</f>
        <v>115</v>
      </c>
      <c r="E141" s="2" t="s">
        <v>1278</v>
      </c>
    </row>
    <row r="142" spans="1:2" ht="12">
      <c r="A142" s="2" t="s">
        <v>1465</v>
      </c>
      <c r="B142" s="2">
        <f>ROUND(D141/B143,3)</f>
        <v>0.804</v>
      </c>
    </row>
    <row r="143" spans="1:2" ht="12">
      <c r="A143" s="2" t="s">
        <v>1055</v>
      </c>
      <c r="B143" s="2">
        <f>B137</f>
        <v>143</v>
      </c>
    </row>
    <row r="144" ht="12">
      <c r="A144" s="2" t="s">
        <v>1121</v>
      </c>
    </row>
    <row r="145" spans="1:5" ht="12">
      <c r="A145" s="2" t="s">
        <v>1122</v>
      </c>
      <c r="C145" s="2" t="s">
        <v>1123</v>
      </c>
      <c r="D145" s="2">
        <f>B141/10</f>
        <v>115</v>
      </c>
      <c r="E145" s="2" t="s">
        <v>1124</v>
      </c>
    </row>
    <row r="146" spans="1:6" ht="12">
      <c r="A146" s="2" t="s">
        <v>1465</v>
      </c>
      <c r="C146" s="2">
        <f>ROUND(D145/B137,3)</f>
        <v>0.804</v>
      </c>
      <c r="D146" s="5" t="str">
        <f>IF(C146&gt;E146,"&gt;","&lt;")</f>
        <v>&lt;</v>
      </c>
      <c r="E146" s="8">
        <v>1.5</v>
      </c>
      <c r="F146" s="9" t="str">
        <f>IF(C146&lt;E146,"OK","NG")</f>
        <v>OK</v>
      </c>
    </row>
    <row r="147" s="10" customFormat="1" ht="12">
      <c r="D147" s="11"/>
    </row>
    <row r="148" ht="12">
      <c r="A148" s="2" t="s">
        <v>1141</v>
      </c>
    </row>
    <row r="149" spans="1:6" ht="12">
      <c r="A149" s="3" t="s">
        <v>921</v>
      </c>
      <c r="B149" s="3"/>
      <c r="C149" s="3" t="str">
        <f>C124</f>
        <v>用いなくてよい</v>
      </c>
      <c r="D149" s="25" t="s">
        <v>1088</v>
      </c>
      <c r="E149" s="2" t="str">
        <f>IF(D123&lt;G123,"0",IF(B123/256&lt;B122,"1","2"))</f>
        <v>0</v>
      </c>
      <c r="F149" s="2" t="s">
        <v>1457</v>
      </c>
    </row>
    <row r="150" spans="1:5" ht="12">
      <c r="A150" s="2" t="s">
        <v>897</v>
      </c>
      <c r="B150" s="2">
        <f>C146</f>
        <v>0.804</v>
      </c>
      <c r="C150" s="5" t="str">
        <f>IF(B150&gt;D150,"&gt;","&lt;")</f>
        <v>&lt;</v>
      </c>
      <c r="D150" s="64" t="str">
        <f>IF(D123&lt;G123,"1",IF(B123/256&lt;B122,"0.8","0.64"))</f>
        <v>1</v>
      </c>
      <c r="E150" s="2" t="s">
        <v>1143</v>
      </c>
    </row>
    <row r="151" ht="12">
      <c r="A151" s="2" t="str">
        <f>IF(D123&lt;G123,IF(B150&gt;D150,"(hw/(100*tw))^4*((σ/3650)^2+(τ/(810+610(hw/a)^2)^2))","(hw/(100*tw))^4*((σ/3650)^2+(τ/(610+810(hw/a)^2)^2))"),IF(B123/256&lt;B122,IF(B150&gt;D150,"(hw/(100*tw))^4*((σ/9500)^2+(τ/(1270+610(hw/a)^2)^2))","(hw/(100*tw))^4*((σ/9500)^2+(τ/(950+810(hw/a)^2)^2))"),IF(B150&gt;D150,"(hw/(100*tw))^4*((σ/31500)^2+(τ/(1970+610(hw/a)^2)^2))","(hw/(100*tw))^4*((σ/31500)^2+(τ/(1480+810(hw/a)^2)^2))")))</f>
        <v>(hw/(100*tw))^4*((σ/3650)^2+(τ/(610+810(hw/a)^2)^2))</v>
      </c>
    </row>
    <row r="152" spans="1:5" ht="12">
      <c r="A152" s="2">
        <f>IF(D123&lt;G123,IF(B150&gt;D150,ROUND((B143/(100*B122))^4*((B153/3650)^2+(B154/(810+610*(B143/D141)^2))^2),2),ROUND((B143/(100*B122))^4*((B153/3650)^2+(B154/(610+810*(B143/D141)^2))^2),2)),IF(B123/256&lt;B122,IF(B150&gt;D150,ROUND((B143/(100*B122))^4*((B153/9500)^2+(B154/(1270+610*(B143/D141)^2))^2),2),ROUND((B143/(100*B122))^4*((B153/9500)^2+(B154/(950+810*(B143/D141)^2))^2),2)),IF(B150&gt;D150,ROUND((B143/(100*B122))^4*((B153/31500)^2+(B154/(1970+610*(B143/D141)^2))^2),2),ROUND((B143/(100*B122))^4*((B153/31500)^2+(B154/(1480+810*(B143/D141)^2))^2),2))))</f>
        <v>0</v>
      </c>
      <c r="B152" s="2">
        <f>IF(D123&lt;G123,IF(B150&gt;D150,ROUND((B143/(100*B122))^4*((B153/3650)^2+(B154/(810+610*(B143/D141)^2))^2),2),ROUND((B143/(100*B122))^4*((B153/3650)^2+(B154/(610+810*(B143/D141)^2))^2),2)),IF(B123/256&lt;B122,IF(B150&gt;D150,ROUND((B143/(100*B122))^4*((B153/9500)^2+(B154/(1270+610*(B143/D141)^2))^2),2),ROUND((B143/(100*B122))^4*((B153/9500)^2+(B154/(950+810*(B143/D141)^2))^2),2)),IF(B150&gt;D150,ROUND((B143/(100*B122))^4*((B153/31500)^2+(B154/(1970+610*(B143/D141)^2))^2),2),ROUND((B143/(100*B122))^4*((B153/31500)^2+(B154/(1480+810*(B143/D141)^2))^2),2))))</f>
        <v>0</v>
      </c>
      <c r="C152" s="5" t="str">
        <f>IF(B152&gt;D152,"&gt;","&lt;")</f>
        <v>&lt;</v>
      </c>
      <c r="D152" s="8">
        <v>1</v>
      </c>
      <c r="E152" s="9" t="str">
        <f>IF(B152&lt;=D152,"OK","NG")</f>
        <v>OK</v>
      </c>
    </row>
    <row r="153" spans="1:2" ht="12">
      <c r="A153" s="2" t="s">
        <v>621</v>
      </c>
      <c r="B153" s="8">
        <v>0</v>
      </c>
    </row>
    <row r="154" spans="1:2" ht="12">
      <c r="A154" s="2" t="s">
        <v>622</v>
      </c>
      <c r="B154" s="8">
        <f>800*0.75</f>
        <v>600</v>
      </c>
    </row>
    <row r="155" ht="12">
      <c r="A155" s="2" t="s">
        <v>623</v>
      </c>
    </row>
    <row r="156" ht="12">
      <c r="A156" s="2" t="s">
        <v>629</v>
      </c>
    </row>
    <row r="157" spans="1:6" ht="12">
      <c r="A157" s="2" t="s">
        <v>630</v>
      </c>
      <c r="B157" s="2">
        <f>ROUND(B123*10/30+50,0)</f>
        <v>98</v>
      </c>
      <c r="C157" s="2" t="s">
        <v>637</v>
      </c>
      <c r="E157" s="64">
        <v>110</v>
      </c>
      <c r="F157" s="2" t="s">
        <v>638</v>
      </c>
    </row>
    <row r="158" spans="1:5" ht="12">
      <c r="A158" s="2" t="s">
        <v>631</v>
      </c>
      <c r="E158" s="66"/>
    </row>
    <row r="159" spans="1:6" ht="12">
      <c r="A159" s="2" t="s">
        <v>632</v>
      </c>
      <c r="B159" s="2">
        <f>ROUND(E157/13,1)</f>
        <v>8.5</v>
      </c>
      <c r="C159" s="2" t="s">
        <v>639</v>
      </c>
      <c r="E159" s="64">
        <v>36</v>
      </c>
      <c r="F159" s="2" t="s">
        <v>638</v>
      </c>
    </row>
    <row r="161" ht="12">
      <c r="A161" s="2" t="s">
        <v>633</v>
      </c>
    </row>
    <row r="162" spans="1:5" ht="12">
      <c r="A162" s="2" t="s">
        <v>640</v>
      </c>
      <c r="B162" s="2">
        <f>E157</f>
        <v>110</v>
      </c>
      <c r="C162" s="5" t="s">
        <v>1276</v>
      </c>
      <c r="D162" s="2">
        <f>E159</f>
        <v>36</v>
      </c>
      <c r="E162" s="2" t="s">
        <v>641</v>
      </c>
    </row>
    <row r="163" ht="12">
      <c r="A163" s="2" t="s">
        <v>634</v>
      </c>
    </row>
    <row r="164" spans="1:5" ht="12">
      <c r="A164" s="2" t="s">
        <v>635</v>
      </c>
      <c r="D164" s="2">
        <f>ROUND((B123*B122^3)/11*8*(B123/D141)^2,0)</f>
        <v>7503</v>
      </c>
      <c r="E164" s="2" t="s">
        <v>1459</v>
      </c>
    </row>
    <row r="166" spans="1:9" ht="12">
      <c r="A166" s="2" t="s">
        <v>636</v>
      </c>
      <c r="F166" s="2" t="s">
        <v>642</v>
      </c>
      <c r="G166" s="2" t="s">
        <v>1427</v>
      </c>
      <c r="I166" s="2" t="s">
        <v>643</v>
      </c>
    </row>
    <row r="167" spans="1:9" ht="12">
      <c r="A167" s="2" t="str">
        <f>A162</f>
        <v>1-PL</v>
      </c>
      <c r="B167" s="2">
        <f>B162</f>
        <v>110</v>
      </c>
      <c r="C167" s="5" t="s">
        <v>1276</v>
      </c>
      <c r="D167" s="2">
        <f>D162</f>
        <v>36</v>
      </c>
      <c r="F167" s="2">
        <f>B167/10*D167/10</f>
        <v>39.6</v>
      </c>
      <c r="G167" s="2">
        <f>B167/10/2</f>
        <v>5.5</v>
      </c>
      <c r="I167" s="2">
        <f>ROUND(F167*G167^2,0)</f>
        <v>1198</v>
      </c>
    </row>
    <row r="168" spans="8:9" ht="12">
      <c r="H168" s="2" t="s">
        <v>644</v>
      </c>
      <c r="I168" s="2">
        <f>ROUND(D167/10*(B167/10)^3/12,0)</f>
        <v>399</v>
      </c>
    </row>
    <row r="169" spans="8:10" ht="12">
      <c r="H169" s="2" t="s">
        <v>645</v>
      </c>
      <c r="I169" s="2">
        <f>SUM(I167:I168)</f>
        <v>1597</v>
      </c>
      <c r="J169" s="2" t="s">
        <v>1459</v>
      </c>
    </row>
    <row r="170" spans="1:8" ht="12">
      <c r="A170" s="2" t="s">
        <v>646</v>
      </c>
      <c r="B170" s="2">
        <f>I169</f>
        <v>1597</v>
      </c>
      <c r="C170" s="2" t="s">
        <v>1459</v>
      </c>
      <c r="D170" s="5" t="str">
        <f>IF(B170&gt;F170,"&gt;","&lt;")</f>
        <v>&lt;</v>
      </c>
      <c r="E170" s="2" t="s">
        <v>647</v>
      </c>
      <c r="F170" s="2">
        <f>D164</f>
        <v>7503</v>
      </c>
      <c r="G170" s="2" t="s">
        <v>1459</v>
      </c>
      <c r="H170" s="9" t="str">
        <f>IF(B170&gt;F170,"OK","NG")</f>
        <v>NG</v>
      </c>
    </row>
    <row r="172" ht="12">
      <c r="A172" s="3" t="s">
        <v>648</v>
      </c>
    </row>
    <row r="173" ht="12">
      <c r="A173" s="10" t="s">
        <v>649</v>
      </c>
    </row>
    <row r="174" ht="12">
      <c r="A174" s="10" t="s">
        <v>650</v>
      </c>
    </row>
    <row r="177" ht="12">
      <c r="A177" s="2" t="s">
        <v>651</v>
      </c>
    </row>
    <row r="178" ht="12">
      <c r="A178" s="2" t="s">
        <v>676</v>
      </c>
    </row>
    <row r="179" ht="12">
      <c r="A179" s="2" t="s">
        <v>1286</v>
      </c>
    </row>
    <row r="180" spans="1:3" ht="12">
      <c r="A180" s="2" t="s">
        <v>677</v>
      </c>
      <c r="B180" s="2">
        <f>ROUND(B181/(4*B182),0)</f>
        <v>269</v>
      </c>
      <c r="C180" s="2" t="s">
        <v>685</v>
      </c>
    </row>
    <row r="181" spans="1:3" ht="12">
      <c r="A181" s="2" t="s">
        <v>678</v>
      </c>
      <c r="B181" s="2">
        <f>'対傾構'!A20</f>
        <v>1290</v>
      </c>
      <c r="C181" s="2" t="s">
        <v>685</v>
      </c>
    </row>
    <row r="182" spans="1:2" ht="12">
      <c r="A182" s="2" t="s">
        <v>1271</v>
      </c>
      <c r="B182" s="64">
        <f>B183+1</f>
        <v>1.2</v>
      </c>
    </row>
    <row r="183" ht="12">
      <c r="B183" s="12">
        <v>0.2</v>
      </c>
    </row>
    <row r="184" ht="12">
      <c r="A184" s="2" t="s">
        <v>679</v>
      </c>
    </row>
    <row r="185" ht="12">
      <c r="A185" s="2" t="s">
        <v>1287</v>
      </c>
    </row>
    <row r="186" spans="1:3" ht="12">
      <c r="A186" s="2" t="s">
        <v>680</v>
      </c>
      <c r="B186" s="2">
        <f>ROUND(B190*B189/(4*B187),0)</f>
        <v>226</v>
      </c>
      <c r="C186" s="2" t="s">
        <v>685</v>
      </c>
    </row>
    <row r="187" spans="1:2" ht="12">
      <c r="A187" s="2" t="s">
        <v>1271</v>
      </c>
      <c r="B187" s="64">
        <f>B188+1</f>
        <v>1.5</v>
      </c>
    </row>
    <row r="188" ht="12">
      <c r="B188" s="12">
        <v>0.5</v>
      </c>
    </row>
    <row r="189" spans="1:2" ht="12">
      <c r="A189" s="2" t="s">
        <v>684</v>
      </c>
      <c r="B189" s="64">
        <v>0.15</v>
      </c>
    </row>
    <row r="190" spans="1:3" ht="12">
      <c r="A190" s="2" t="s">
        <v>681</v>
      </c>
      <c r="B190" s="2">
        <f>'対傾構'!E26*1000</f>
        <v>9021.999999999998</v>
      </c>
      <c r="C190" s="2" t="s">
        <v>685</v>
      </c>
    </row>
    <row r="191" spans="1:3" ht="12">
      <c r="A191" s="2" t="s">
        <v>682</v>
      </c>
      <c r="B191" s="2" t="str">
        <f>IF(B180&lt;B186,"地震荷重","風荷重")</f>
        <v>風荷重</v>
      </c>
      <c r="C191" s="2" t="s">
        <v>683</v>
      </c>
    </row>
    <row r="193" spans="1:3" ht="12">
      <c r="A193" s="2" t="s">
        <v>1294</v>
      </c>
      <c r="B193" s="2">
        <f>IF(B180&lt;B186,B186,B180)</f>
        <v>269</v>
      </c>
      <c r="C193" s="2" t="s">
        <v>685</v>
      </c>
    </row>
    <row r="195" ht="12">
      <c r="A195" s="2" t="s">
        <v>809</v>
      </c>
    </row>
    <row r="196" spans="1:3" ht="12">
      <c r="A196" s="2" t="s">
        <v>814</v>
      </c>
      <c r="B196" s="2">
        <f>B221</f>
        <v>2.3</v>
      </c>
      <c r="C196" s="2" t="s">
        <v>1259</v>
      </c>
    </row>
    <row r="197" spans="1:3" ht="12">
      <c r="A197" s="2" t="s">
        <v>810</v>
      </c>
      <c r="B197" s="2">
        <f>B223</f>
        <v>3.585</v>
      </c>
      <c r="C197" s="2" t="s">
        <v>1259</v>
      </c>
    </row>
    <row r="198" spans="1:2" ht="12">
      <c r="A198" s="2" t="s">
        <v>813</v>
      </c>
      <c r="B198" s="2">
        <f>B196/B197</f>
        <v>0.6415620641562064</v>
      </c>
    </row>
    <row r="199" spans="1:2" ht="12">
      <c r="A199" s="2" t="s">
        <v>815</v>
      </c>
      <c r="B199" s="2">
        <f>ROUND(1/B198,3)</f>
        <v>1.559</v>
      </c>
    </row>
    <row r="200" ht="12">
      <c r="A200" s="2" t="s">
        <v>1325</v>
      </c>
    </row>
    <row r="215" ht="12">
      <c r="A215" s="18" t="s">
        <v>686</v>
      </c>
    </row>
    <row r="216" spans="1:8" s="10" customFormat="1" ht="12">
      <c r="A216" s="10" t="s">
        <v>748</v>
      </c>
      <c r="B216" s="10">
        <f>'影響線'!B36</f>
        <v>-23.579</v>
      </c>
      <c r="D216" s="10">
        <f>B193</f>
        <v>269</v>
      </c>
      <c r="E216" s="10" t="s">
        <v>1435</v>
      </c>
      <c r="F216" s="10">
        <f>B222/B223</f>
        <v>0.7670850767085077</v>
      </c>
      <c r="G216" s="10" t="s">
        <v>674</v>
      </c>
      <c r="H216" s="10">
        <f>'影響線'!B38</f>
        <v>-16.432</v>
      </c>
    </row>
    <row r="217" spans="1:4" s="10" customFormat="1" ht="12">
      <c r="A217" s="10" t="s">
        <v>1306</v>
      </c>
      <c r="B217" s="10">
        <f>'影響線'!B37</f>
        <v>19.29</v>
      </c>
      <c r="D217" s="10">
        <f>'床版'!C6</f>
        <v>33</v>
      </c>
    </row>
    <row r="218" spans="1:4" ht="12">
      <c r="A218" s="2" t="s">
        <v>687</v>
      </c>
      <c r="D218" s="2">
        <f>D216/2*D217/1000</f>
        <v>4.4385</v>
      </c>
    </row>
    <row r="219" spans="1:5" ht="12">
      <c r="A219" s="2" t="s">
        <v>688</v>
      </c>
      <c r="B219" s="2">
        <f>ROUND(B193*B216,0)</f>
        <v>-6343</v>
      </c>
      <c r="C219" s="2" t="s">
        <v>1441</v>
      </c>
      <c r="E219" s="2">
        <f>ABS(B219)</f>
        <v>6343</v>
      </c>
    </row>
    <row r="220" ht="12">
      <c r="A220" s="2" t="s">
        <v>689</v>
      </c>
    </row>
    <row r="221" spans="1:4" ht="12">
      <c r="A221" s="2" t="s">
        <v>811</v>
      </c>
      <c r="B221" s="10">
        <f>'床版'!C12</f>
        <v>2.3</v>
      </c>
      <c r="C221" s="2" t="s">
        <v>1259</v>
      </c>
      <c r="D221" s="2">
        <f>17.71/213</f>
        <v>0.0831455399061033</v>
      </c>
    </row>
    <row r="222" spans="1:3" ht="12">
      <c r="A222" s="2" t="s">
        <v>812</v>
      </c>
      <c r="B222" s="10">
        <f>'床版'!I7/2</f>
        <v>2.75</v>
      </c>
      <c r="C222" s="2" t="s">
        <v>1259</v>
      </c>
    </row>
    <row r="223" spans="1:4" ht="12">
      <c r="A223" s="2" t="s">
        <v>690</v>
      </c>
      <c r="B223" s="2">
        <f>ROUND(SQRT(B221^2+B222^2),3)</f>
        <v>3.585</v>
      </c>
      <c r="C223" s="2" t="s">
        <v>1259</v>
      </c>
      <c r="D223" s="2">
        <f>B223*100</f>
        <v>358.5</v>
      </c>
    </row>
    <row r="224" ht="12">
      <c r="A224" s="2" t="s">
        <v>691</v>
      </c>
    </row>
    <row r="225" ht="12">
      <c r="A225" s="2" t="s">
        <v>692</v>
      </c>
    </row>
    <row r="226" spans="1:6" ht="12">
      <c r="A226" s="2" t="s">
        <v>697</v>
      </c>
      <c r="B226" s="64">
        <v>130</v>
      </c>
      <c r="C226" s="68" t="s">
        <v>1276</v>
      </c>
      <c r="D226" s="64">
        <v>130</v>
      </c>
      <c r="E226" s="68" t="s">
        <v>1276</v>
      </c>
      <c r="F226" s="64">
        <v>36</v>
      </c>
    </row>
    <row r="227" spans="1:3" ht="12">
      <c r="A227" s="2" t="s">
        <v>694</v>
      </c>
      <c r="B227" s="64">
        <v>36.75</v>
      </c>
      <c r="C227" s="2" t="s">
        <v>1273</v>
      </c>
    </row>
    <row r="228" spans="1:3" ht="12">
      <c r="A228" s="2" t="s">
        <v>695</v>
      </c>
      <c r="B228" s="64">
        <v>3.93</v>
      </c>
      <c r="C228" s="2" t="s">
        <v>1261</v>
      </c>
    </row>
    <row r="229" spans="1:3" ht="12">
      <c r="A229" s="2" t="s">
        <v>696</v>
      </c>
      <c r="B229" s="64">
        <v>2.59</v>
      </c>
      <c r="C229" s="2" t="s">
        <v>1261</v>
      </c>
    </row>
    <row r="230" spans="1:5" ht="12">
      <c r="A230" s="2" t="s">
        <v>693</v>
      </c>
      <c r="B230" s="2">
        <f>ROUND(B223*100/B229,0)</f>
        <v>138</v>
      </c>
      <c r="C230" s="5" t="str">
        <f>IF(B230&lt;E230,"&lt;","&gt;")</f>
        <v>&lt;</v>
      </c>
      <c r="D230" s="2" t="s">
        <v>698</v>
      </c>
      <c r="E230" s="8">
        <v>150</v>
      </c>
    </row>
    <row r="231" spans="1:4" ht="12">
      <c r="A231" s="2" t="s">
        <v>1225</v>
      </c>
      <c r="B231" s="10">
        <f>B230</f>
        <v>138</v>
      </c>
      <c r="C231" s="5" t="str">
        <f>IF(B231&gt;D231,"&gt;","&lt;")</f>
        <v>&gt;</v>
      </c>
      <c r="D231" s="8">
        <v>93</v>
      </c>
    </row>
    <row r="232" spans="1:3" ht="12">
      <c r="A232" s="2" t="s">
        <v>1228</v>
      </c>
      <c r="B232" s="2">
        <f>IF(B231&gt;D231,ROUND(12*10^6/(6700+(B231)^2),0),IF(B231&gt;20,ROUND(1400-8.4*(B231-20),0),1400))</f>
        <v>466</v>
      </c>
      <c r="C232" s="2" t="s">
        <v>1279</v>
      </c>
    </row>
    <row r="233" ht="12">
      <c r="A233" s="2" t="s">
        <v>699</v>
      </c>
    </row>
    <row r="234" spans="1:6" ht="12">
      <c r="A234" s="2">
        <f>ROUND(B219/B227,0)</f>
        <v>-173</v>
      </c>
      <c r="B234" s="2" t="s">
        <v>1279</v>
      </c>
      <c r="C234" s="5" t="str">
        <f>IF(A234&lt;D234,"&lt;","&gt;")</f>
        <v>&lt;</v>
      </c>
      <c r="D234" s="2">
        <f>ROUND(B232*(0.5+(B223*100/B228)/1000),0)</f>
        <v>276</v>
      </c>
      <c r="E234" s="2" t="s">
        <v>1279</v>
      </c>
      <c r="F234" s="9" t="str">
        <f>IF(A234&lt;D234,"OK","NG")</f>
        <v>OK</v>
      </c>
    </row>
    <row r="235" spans="1:6" ht="12">
      <c r="A235" s="2">
        <f>ABS(A234)</f>
        <v>173</v>
      </c>
      <c r="B235" s="2" t="s">
        <v>1279</v>
      </c>
      <c r="C235" s="5" t="str">
        <f>IF(A235&lt;D235,"&lt;","&gt;")</f>
        <v>&lt;</v>
      </c>
      <c r="D235" s="2">
        <f>D234</f>
        <v>276</v>
      </c>
      <c r="E235" s="2" t="s">
        <v>1279</v>
      </c>
      <c r="F235" s="9" t="str">
        <f>IF(A235&lt;D235,"OK","NG")</f>
        <v>OK</v>
      </c>
    </row>
    <row r="236" spans="1:6" ht="12">
      <c r="A236" s="3"/>
      <c r="B236" s="3"/>
      <c r="C236" s="3"/>
      <c r="D236" s="3"/>
      <c r="E236" s="3"/>
      <c r="F236" s="3"/>
    </row>
    <row r="237" ht="12">
      <c r="A237" s="2" t="s">
        <v>700</v>
      </c>
    </row>
    <row r="238" ht="12">
      <c r="A238" s="2" t="s">
        <v>701</v>
      </c>
    </row>
    <row r="239" ht="12">
      <c r="A239" s="2" t="s">
        <v>702</v>
      </c>
    </row>
    <row r="240" spans="1:2" ht="12">
      <c r="A240" s="2">
        <f>B227-B227/4-1.2*(2.2+0.3)</f>
        <v>24.5625</v>
      </c>
      <c r="B240" s="2" t="s">
        <v>1273</v>
      </c>
    </row>
    <row r="242" ht="12">
      <c r="A242" s="2" t="s">
        <v>703</v>
      </c>
    </row>
    <row r="243" spans="1:8" ht="12">
      <c r="A243" s="2" t="s">
        <v>704</v>
      </c>
      <c r="B243" s="2">
        <f>ROUND(ABS(B219)/A240,0)</f>
        <v>258</v>
      </c>
      <c r="C243" s="2" t="s">
        <v>1425</v>
      </c>
      <c r="D243" s="5" t="str">
        <f>IF(B243&lt;F243,"&lt;","&gt;")</f>
        <v>&lt;</v>
      </c>
      <c r="E243" s="2" t="s">
        <v>705</v>
      </c>
      <c r="F243" s="12">
        <v>1400</v>
      </c>
      <c r="G243" s="2" t="s">
        <v>1425</v>
      </c>
      <c r="H243" s="9" t="str">
        <f>IF(B243&lt;F243,"OK","NG")</f>
        <v>OK</v>
      </c>
    </row>
    <row r="245" ht="12">
      <c r="A245" s="2" t="s">
        <v>706</v>
      </c>
    </row>
    <row r="246" ht="12">
      <c r="A246" s="2" t="s">
        <v>707</v>
      </c>
    </row>
    <row r="247" ht="12">
      <c r="D247" s="2">
        <f>B193</f>
        <v>269</v>
      </c>
    </row>
    <row r="248" ht="12">
      <c r="D248" s="2">
        <f>D217</f>
        <v>33</v>
      </c>
    </row>
    <row r="249" spans="1:4" ht="12">
      <c r="A249" s="2" t="s">
        <v>687</v>
      </c>
      <c r="D249" s="2">
        <f>D247/2*D248/1000</f>
        <v>4.4385</v>
      </c>
    </row>
    <row r="250" spans="1:5" ht="12">
      <c r="A250" s="2" t="s">
        <v>1059</v>
      </c>
      <c r="B250" s="2">
        <f>ROUND(B193*B217,0)</f>
        <v>5189</v>
      </c>
      <c r="C250" s="2" t="s">
        <v>1441</v>
      </c>
      <c r="E250" s="2">
        <f>ABS(B250)</f>
        <v>5189</v>
      </c>
    </row>
    <row r="251" ht="12">
      <c r="A251" s="2" t="s">
        <v>689</v>
      </c>
    </row>
    <row r="252" spans="1:4" ht="12">
      <c r="A252" s="2" t="s">
        <v>811</v>
      </c>
      <c r="B252" s="10">
        <f>B221</f>
        <v>2.3</v>
      </c>
      <c r="C252" s="2" t="s">
        <v>1259</v>
      </c>
      <c r="D252" s="2">
        <f>17.71/213</f>
        <v>0.0831455399061033</v>
      </c>
    </row>
    <row r="253" spans="1:3" ht="12">
      <c r="A253" s="2" t="s">
        <v>812</v>
      </c>
      <c r="B253" s="10">
        <f>B222</f>
        <v>2.75</v>
      </c>
      <c r="C253" s="2" t="s">
        <v>1259</v>
      </c>
    </row>
    <row r="254" spans="1:4" ht="12">
      <c r="A254" s="2" t="s">
        <v>690</v>
      </c>
      <c r="B254" s="10">
        <f>B223</f>
        <v>3.585</v>
      </c>
      <c r="C254" s="2" t="s">
        <v>1259</v>
      </c>
      <c r="D254" s="2">
        <f>B254*100</f>
        <v>358.5</v>
      </c>
    </row>
    <row r="255" ht="12">
      <c r="A255" s="2" t="s">
        <v>691</v>
      </c>
    </row>
    <row r="256" ht="12">
      <c r="A256" s="2" t="s">
        <v>692</v>
      </c>
    </row>
    <row r="257" spans="1:6" ht="12">
      <c r="A257" s="2" t="s">
        <v>697</v>
      </c>
      <c r="B257" s="64">
        <v>130</v>
      </c>
      <c r="C257" s="68" t="s">
        <v>1276</v>
      </c>
      <c r="D257" s="64">
        <v>130</v>
      </c>
      <c r="E257" s="68" t="s">
        <v>1276</v>
      </c>
      <c r="F257" s="64">
        <v>36</v>
      </c>
    </row>
    <row r="258" spans="1:3" ht="12">
      <c r="A258" s="2" t="s">
        <v>694</v>
      </c>
      <c r="B258" s="64">
        <v>36.75</v>
      </c>
      <c r="C258" s="2" t="s">
        <v>1273</v>
      </c>
    </row>
    <row r="259" spans="1:3" ht="12">
      <c r="A259" s="2" t="s">
        <v>695</v>
      </c>
      <c r="B259" s="64">
        <v>3.93</v>
      </c>
      <c r="C259" s="2" t="s">
        <v>1261</v>
      </c>
    </row>
    <row r="260" spans="1:3" ht="12">
      <c r="A260" s="2" t="s">
        <v>696</v>
      </c>
      <c r="B260" s="64">
        <v>2.59</v>
      </c>
      <c r="C260" s="2" t="s">
        <v>1261</v>
      </c>
    </row>
    <row r="261" spans="1:5" ht="12">
      <c r="A261" s="2" t="s">
        <v>693</v>
      </c>
      <c r="B261" s="2">
        <f>ROUND(B254*100/B260,0)</f>
        <v>138</v>
      </c>
      <c r="C261" s="5" t="str">
        <f>IF(B261&lt;E261,"&lt;","&gt;")</f>
        <v>&lt;</v>
      </c>
      <c r="D261" s="2" t="s">
        <v>698</v>
      </c>
      <c r="E261" s="8">
        <v>150</v>
      </c>
    </row>
    <row r="262" spans="1:4" ht="12">
      <c r="A262" s="2" t="s">
        <v>1225</v>
      </c>
      <c r="B262" s="10">
        <f>B261</f>
        <v>138</v>
      </c>
      <c r="C262" s="5" t="str">
        <f>IF(B262&gt;D262,"&gt;","&lt;")</f>
        <v>&gt;</v>
      </c>
      <c r="D262" s="8">
        <v>93</v>
      </c>
    </row>
    <row r="263" spans="1:3" ht="12">
      <c r="A263" s="2" t="s">
        <v>1228</v>
      </c>
      <c r="B263" s="2">
        <f>IF(B262&gt;D262,ROUND(12*10^6/(6700+(B262)^2),0),IF(B262&gt;20,ROUND(1400-8.4*(B262-20),0),1400))</f>
        <v>466</v>
      </c>
      <c r="C263" s="2" t="s">
        <v>1279</v>
      </c>
    </row>
    <row r="264" ht="12">
      <c r="A264" s="2" t="s">
        <v>699</v>
      </c>
    </row>
    <row r="265" spans="1:6" ht="12">
      <c r="A265" s="2">
        <f>ROUND(B250/B258,0)</f>
        <v>141</v>
      </c>
      <c r="B265" s="2" t="s">
        <v>1279</v>
      </c>
      <c r="C265" s="5" t="str">
        <f>IF(A265&lt;D265,"&lt;","&gt;")</f>
        <v>&lt;</v>
      </c>
      <c r="D265" s="2">
        <f>ROUND(B263*(0.5+(B254*100/B259)/1000),0)</f>
        <v>276</v>
      </c>
      <c r="E265" s="2" t="s">
        <v>1279</v>
      </c>
      <c r="F265" s="9" t="str">
        <f>IF(A265&lt;D265,"OK","NG")</f>
        <v>OK</v>
      </c>
    </row>
    <row r="266" spans="1:6" ht="12">
      <c r="A266" s="2">
        <f>ABS(A265)</f>
        <v>141</v>
      </c>
      <c r="B266" s="2" t="s">
        <v>1279</v>
      </c>
      <c r="C266" s="5" t="str">
        <f>IF(A266&lt;D266,"&lt;","&gt;")</f>
        <v>&lt;</v>
      </c>
      <c r="D266" s="2">
        <f>D265</f>
        <v>276</v>
      </c>
      <c r="E266" s="2" t="s">
        <v>1279</v>
      </c>
      <c r="F266" s="9" t="str">
        <f>IF(A266&lt;D266,"OK","NG")</f>
        <v>OK</v>
      </c>
    </row>
    <row r="267" spans="1:6" ht="12">
      <c r="A267" s="3"/>
      <c r="B267" s="3"/>
      <c r="C267" s="3"/>
      <c r="D267" s="3"/>
      <c r="E267" s="3"/>
      <c r="F267" s="3"/>
    </row>
    <row r="268" ht="12">
      <c r="A268" s="2" t="s">
        <v>700</v>
      </c>
    </row>
    <row r="269" ht="12">
      <c r="A269" s="2" t="s">
        <v>701</v>
      </c>
    </row>
    <row r="270" ht="12">
      <c r="A270" s="2" t="s">
        <v>702</v>
      </c>
    </row>
    <row r="271" spans="1:2" ht="12">
      <c r="A271" s="2">
        <f>B258-B258/4-1.2*(2.2+0.3)</f>
        <v>24.5625</v>
      </c>
      <c r="B271" s="2" t="s">
        <v>1273</v>
      </c>
    </row>
    <row r="273" ht="12">
      <c r="A273" s="2" t="s">
        <v>703</v>
      </c>
    </row>
    <row r="274" spans="1:8" ht="12">
      <c r="A274" s="2" t="s">
        <v>704</v>
      </c>
      <c r="B274" s="2">
        <f>ROUND(ABS(B250)/A271,0)</f>
        <v>211</v>
      </c>
      <c r="C274" s="2" t="s">
        <v>1425</v>
      </c>
      <c r="D274" s="5" t="str">
        <f>IF(B274&lt;F274,"&lt;","&gt;")</f>
        <v>&lt;</v>
      </c>
      <c r="E274" s="2" t="s">
        <v>705</v>
      </c>
      <c r="F274" s="12">
        <v>1400</v>
      </c>
      <c r="G274" s="2" t="s">
        <v>1425</v>
      </c>
      <c r="H274" s="9" t="str">
        <f>IF(B274&lt;F274,"OK","NG")</f>
        <v>OK</v>
      </c>
    </row>
    <row r="276" ht="12">
      <c r="A276" s="2" t="s">
        <v>706</v>
      </c>
    </row>
    <row r="277" ht="12">
      <c r="A277" s="2" t="s">
        <v>707</v>
      </c>
    </row>
    <row r="280" ht="12">
      <c r="D280" s="2">
        <f>B193</f>
        <v>269</v>
      </c>
    </row>
    <row r="281" ht="12">
      <c r="D281" s="2">
        <f>D248</f>
        <v>33</v>
      </c>
    </row>
    <row r="282" spans="1:4" ht="12">
      <c r="A282" s="2" t="s">
        <v>687</v>
      </c>
      <c r="D282" s="2">
        <f>D280/2*D281/1000</f>
        <v>4.4385</v>
      </c>
    </row>
    <row r="283" spans="1:5" ht="12">
      <c r="A283" s="2" t="s">
        <v>675</v>
      </c>
      <c r="B283" s="2">
        <f>ROUND(B193*'影響線'!B38,0)</f>
        <v>-4420</v>
      </c>
      <c r="C283" s="2" t="s">
        <v>1441</v>
      </c>
      <c r="E283" s="2">
        <f>ABS(B283)</f>
        <v>4420</v>
      </c>
    </row>
    <row r="284" ht="12">
      <c r="A284" s="2" t="s">
        <v>689</v>
      </c>
    </row>
    <row r="285" spans="1:4" ht="12">
      <c r="A285" s="2" t="s">
        <v>811</v>
      </c>
      <c r="B285" s="10">
        <f>B252</f>
        <v>2.3</v>
      </c>
      <c r="C285" s="2" t="s">
        <v>1259</v>
      </c>
      <c r="D285" s="2">
        <f>17.71/213</f>
        <v>0.0831455399061033</v>
      </c>
    </row>
    <row r="286" spans="1:3" ht="12">
      <c r="A286" s="2" t="s">
        <v>812</v>
      </c>
      <c r="B286" s="10">
        <f>B253</f>
        <v>2.75</v>
      </c>
      <c r="C286" s="2" t="s">
        <v>1259</v>
      </c>
    </row>
    <row r="287" spans="1:4" ht="12">
      <c r="A287" s="2" t="s">
        <v>690</v>
      </c>
      <c r="B287" s="10">
        <f>B254</f>
        <v>3.585</v>
      </c>
      <c r="C287" s="2" t="s">
        <v>1259</v>
      </c>
      <c r="D287" s="2">
        <f>B287*100</f>
        <v>358.5</v>
      </c>
    </row>
    <row r="288" ht="12">
      <c r="A288" s="2" t="s">
        <v>691</v>
      </c>
    </row>
    <row r="289" ht="12">
      <c r="A289" s="2" t="s">
        <v>692</v>
      </c>
    </row>
    <row r="290" spans="1:6" ht="12">
      <c r="A290" s="2" t="s">
        <v>697</v>
      </c>
      <c r="B290" s="64">
        <v>130</v>
      </c>
      <c r="C290" s="68" t="s">
        <v>1276</v>
      </c>
      <c r="D290" s="64">
        <v>130</v>
      </c>
      <c r="E290" s="68" t="s">
        <v>1276</v>
      </c>
      <c r="F290" s="64">
        <v>36</v>
      </c>
    </row>
    <row r="291" spans="1:3" ht="12">
      <c r="A291" s="2" t="s">
        <v>694</v>
      </c>
      <c r="B291" s="64">
        <v>36.75</v>
      </c>
      <c r="C291" s="2" t="s">
        <v>1273</v>
      </c>
    </row>
    <row r="292" spans="1:3" ht="12">
      <c r="A292" s="2" t="s">
        <v>695</v>
      </c>
      <c r="B292" s="64">
        <v>3.93</v>
      </c>
      <c r="C292" s="2" t="s">
        <v>1261</v>
      </c>
    </row>
    <row r="293" spans="1:3" ht="12">
      <c r="A293" s="2" t="s">
        <v>696</v>
      </c>
      <c r="B293" s="64">
        <v>2.59</v>
      </c>
      <c r="C293" s="2" t="s">
        <v>1261</v>
      </c>
    </row>
    <row r="294" spans="1:5" ht="12">
      <c r="A294" s="2" t="s">
        <v>693</v>
      </c>
      <c r="B294" s="2">
        <f>ROUND(B287*100/B293,0)</f>
        <v>138</v>
      </c>
      <c r="C294" s="5" t="str">
        <f>IF(B294&lt;E294,"&lt;","&gt;")</f>
        <v>&lt;</v>
      </c>
      <c r="D294" s="2" t="s">
        <v>698</v>
      </c>
      <c r="E294" s="8">
        <v>150</v>
      </c>
    </row>
    <row r="295" spans="1:4" ht="12">
      <c r="A295" s="2" t="s">
        <v>1225</v>
      </c>
      <c r="B295" s="10">
        <f>B294</f>
        <v>138</v>
      </c>
      <c r="C295" s="5" t="str">
        <f>IF(B295&gt;D295,"&gt;","&lt;")</f>
        <v>&gt;</v>
      </c>
      <c r="D295" s="8">
        <v>93</v>
      </c>
    </row>
    <row r="296" spans="1:3" ht="12">
      <c r="A296" s="2" t="s">
        <v>1228</v>
      </c>
      <c r="B296" s="2">
        <f>IF(B295&gt;D295,ROUND(12*10^6/(6700+(B295)^2),0),IF(B295&gt;20,ROUND(1400-8.4*(B295-20),0),1400))</f>
        <v>466</v>
      </c>
      <c r="C296" s="2" t="s">
        <v>1279</v>
      </c>
    </row>
    <row r="297" ht="12">
      <c r="A297" s="2" t="s">
        <v>699</v>
      </c>
    </row>
    <row r="298" spans="1:6" ht="12">
      <c r="A298" s="2">
        <f>ROUND(B283/B291,0)</f>
        <v>-120</v>
      </c>
      <c r="B298" s="2" t="s">
        <v>1279</v>
      </c>
      <c r="C298" s="5" t="str">
        <f>IF(A298&lt;D298,"&lt;","&gt;")</f>
        <v>&lt;</v>
      </c>
      <c r="D298" s="2">
        <f>ROUND(B296*(0.5+(B287*100/B292)/1000),0)</f>
        <v>276</v>
      </c>
      <c r="E298" s="2" t="s">
        <v>1279</v>
      </c>
      <c r="F298" s="9" t="str">
        <f>IF(A298&lt;D298,"OK","NG")</f>
        <v>OK</v>
      </c>
    </row>
    <row r="299" spans="1:6" ht="12">
      <c r="A299" s="2">
        <f>ABS(A298)</f>
        <v>120</v>
      </c>
      <c r="B299" s="2" t="s">
        <v>1279</v>
      </c>
      <c r="C299" s="5" t="str">
        <f>IF(A299&lt;D299,"&lt;","&gt;")</f>
        <v>&lt;</v>
      </c>
      <c r="D299" s="2">
        <f>D298</f>
        <v>276</v>
      </c>
      <c r="E299" s="2" t="s">
        <v>1279</v>
      </c>
      <c r="F299" s="9" t="str">
        <f>IF(A299&lt;D299,"OK","NG")</f>
        <v>OK</v>
      </c>
    </row>
    <row r="300" spans="1:6" ht="12">
      <c r="A300" s="3"/>
      <c r="B300" s="3"/>
      <c r="C300" s="3"/>
      <c r="D300" s="3"/>
      <c r="E300" s="3"/>
      <c r="F300" s="3"/>
    </row>
    <row r="301" ht="12">
      <c r="A301" s="2" t="s">
        <v>700</v>
      </c>
    </row>
    <row r="302" ht="12">
      <c r="A302" s="2" t="s">
        <v>701</v>
      </c>
    </row>
    <row r="303" ht="12">
      <c r="A303" s="2" t="s">
        <v>702</v>
      </c>
    </row>
    <row r="304" spans="1:2" ht="12">
      <c r="A304" s="2">
        <f>B291-B291/4-1.2*(2.2+0.3)</f>
        <v>24.5625</v>
      </c>
      <c r="B304" s="2" t="s">
        <v>1273</v>
      </c>
    </row>
    <row r="306" ht="12">
      <c r="A306" s="2" t="s">
        <v>703</v>
      </c>
    </row>
    <row r="307" spans="1:8" ht="12">
      <c r="A307" s="2" t="s">
        <v>704</v>
      </c>
      <c r="B307" s="2">
        <f>ROUND(ABS(B283)/A304,0)</f>
        <v>180</v>
      </c>
      <c r="C307" s="2" t="s">
        <v>1425</v>
      </c>
      <c r="D307" s="5" t="str">
        <f>IF(B307&lt;F307,"&lt;","&gt;")</f>
        <v>&lt;</v>
      </c>
      <c r="E307" s="2" t="s">
        <v>705</v>
      </c>
      <c r="F307" s="12">
        <v>1400</v>
      </c>
      <c r="G307" s="2" t="s">
        <v>1425</v>
      </c>
      <c r="H307" s="9" t="str">
        <f>IF(B307&lt;F307,"OK","NG")</f>
        <v>OK</v>
      </c>
    </row>
    <row r="309" ht="12">
      <c r="A309" s="2" t="s">
        <v>706</v>
      </c>
    </row>
    <row r="310" ht="12">
      <c r="A310" s="2" t="s">
        <v>707</v>
      </c>
    </row>
  </sheetData>
  <sheetProtection password="AF41" sheet="1" objects="1" scenarios="1"/>
  <dataValidations count="1">
    <dataValidation errorStyle="warning" type="list" operator="equal" allowBlank="1" showInputMessage="1" showErrorMessage="1" promptTitle="リストから選択できます" prompt="リストから選択されることをお勧めします" errorTitle="リストから選択されませんでした" error="リストからの再入力をお勧めします" imeMode="halfAlpha" sqref="F290 F257 F226 E159 B8 D12:D13">
      <formula1>"9,10,11,12,13,14,15,16,18,19,20,22,25,28,32,36,38,40,45,50"</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scale="79" r:id="rId1"/>
  <rowBreaks count="4" manualBreakCount="4">
    <brk id="30" max="255" man="1"/>
    <brk id="66" max="255" man="1"/>
    <brk id="130" max="255" man="1"/>
    <brk id="194" max="255" man="1"/>
  </rowBreaks>
</worksheet>
</file>

<file path=xl/worksheets/sheet8.xml><?xml version="1.0" encoding="utf-8"?>
<worksheet xmlns="http://schemas.openxmlformats.org/spreadsheetml/2006/main" xmlns:r="http://schemas.openxmlformats.org/officeDocument/2006/relationships">
  <sheetPr codeName="Sheet8"/>
  <dimension ref="A2:C38"/>
  <sheetViews>
    <sheetView zoomScale="75" zoomScaleNormal="75" zoomScalePageLayoutView="0" workbookViewId="0" topLeftCell="A1">
      <selection activeCell="H35" sqref="H35"/>
    </sheetView>
  </sheetViews>
  <sheetFormatPr defaultColWidth="9.00390625" defaultRowHeight="13.5"/>
  <sheetData>
    <row r="2" spans="1:2" ht="13.5">
      <c r="A2" t="s">
        <v>653</v>
      </c>
      <c r="B2">
        <f>'横桁'!B198</f>
        <v>0.6415620641562064</v>
      </c>
    </row>
    <row r="3" spans="1:2" ht="13.5">
      <c r="A3" t="s">
        <v>652</v>
      </c>
      <c r="B3">
        <f>'横桁'!$B$199</f>
        <v>1.559</v>
      </c>
    </row>
    <row r="4" ht="13.5">
      <c r="A4" t="s">
        <v>669</v>
      </c>
    </row>
    <row r="5" spans="1:3" ht="13.5">
      <c r="A5" t="s">
        <v>668</v>
      </c>
      <c r="B5">
        <f>'床版'!$C$6</f>
        <v>33</v>
      </c>
      <c r="C5" t="s">
        <v>199</v>
      </c>
    </row>
    <row r="6" spans="1:3" ht="13.5">
      <c r="A6" t="s">
        <v>658</v>
      </c>
      <c r="B6">
        <f>ROUND(B3*(B5-'床版'!$I$7/2)/B5,3)</f>
        <v>1.429</v>
      </c>
      <c r="C6" t="s">
        <v>199</v>
      </c>
    </row>
    <row r="7" spans="1:3" ht="13.5">
      <c r="A7" t="s">
        <v>671</v>
      </c>
      <c r="B7" s="60">
        <f>ROUND(B5*B6/2,3)</f>
        <v>23.579</v>
      </c>
      <c r="C7" t="s">
        <v>670</v>
      </c>
    </row>
    <row r="8" spans="1:3" ht="13.5">
      <c r="A8" t="s">
        <v>662</v>
      </c>
      <c r="B8">
        <f>B7*-1</f>
        <v>-23.579</v>
      </c>
      <c r="C8" t="s">
        <v>670</v>
      </c>
    </row>
    <row r="9" ht="13.5">
      <c r="A9" t="s">
        <v>672</v>
      </c>
    </row>
    <row r="10" spans="1:3" ht="13.5">
      <c r="A10" t="s">
        <v>654</v>
      </c>
      <c r="B10">
        <f>'床版'!$I$7/2</f>
        <v>2.75</v>
      </c>
      <c r="C10" t="s">
        <v>199</v>
      </c>
    </row>
    <row r="11" spans="1:3" ht="13.5">
      <c r="A11" t="s">
        <v>655</v>
      </c>
      <c r="B11" s="60">
        <f>ROUND(B15/B16*'床版'!$I$7/2/(1+B15/B16),3)</f>
        <v>0.25</v>
      </c>
      <c r="C11" t="s">
        <v>199</v>
      </c>
    </row>
    <row r="12" spans="1:3" ht="13.5">
      <c r="A12" t="s">
        <v>656</v>
      </c>
      <c r="B12">
        <f>'床版'!$C$6-'床版'!$I$7</f>
        <v>27.5</v>
      </c>
      <c r="C12" t="s">
        <v>199</v>
      </c>
    </row>
    <row r="13" spans="1:3" ht="13.5">
      <c r="A13" t="s">
        <v>657</v>
      </c>
      <c r="B13" s="60">
        <f>ROUND('床版'!$I$7/2-B11,3)</f>
        <v>2.5</v>
      </c>
      <c r="C13" t="s">
        <v>199</v>
      </c>
    </row>
    <row r="14" ht="13.5">
      <c r="A14" t="s">
        <v>665</v>
      </c>
    </row>
    <row r="15" spans="1:2" ht="13.5">
      <c r="A15" t="s">
        <v>659</v>
      </c>
      <c r="B15" s="60">
        <f>ROUND(B3*B10/'床版'!$C$6,3)</f>
        <v>0.13</v>
      </c>
    </row>
    <row r="16" spans="1:2" ht="13.5">
      <c r="A16" t="s">
        <v>660</v>
      </c>
      <c r="B16">
        <f>ROUND(B3*('床版'!$C$6-'床版'!$I$7)/'床版'!$C$6,3)</f>
        <v>1.299</v>
      </c>
    </row>
    <row r="17" ht="13.5">
      <c r="A17" t="s">
        <v>661</v>
      </c>
    </row>
    <row r="18" spans="1:3" ht="13.5">
      <c r="A18" t="s">
        <v>659</v>
      </c>
      <c r="B18">
        <f>ROUND((B10+B11)*B15/2,3)</f>
        <v>0.195</v>
      </c>
      <c r="C18" t="s">
        <v>670</v>
      </c>
    </row>
    <row r="19" spans="1:3" ht="13.5">
      <c r="A19" t="s">
        <v>660</v>
      </c>
      <c r="B19">
        <f>ROUND((B12+B13)*B16/2,3)</f>
        <v>19.485</v>
      </c>
      <c r="C19" t="s">
        <v>670</v>
      </c>
    </row>
    <row r="20" spans="1:3" ht="13.5">
      <c r="A20" t="s">
        <v>663</v>
      </c>
      <c r="B20" s="60">
        <f>B19-B18</f>
        <v>19.29</v>
      </c>
      <c r="C20" t="s">
        <v>670</v>
      </c>
    </row>
    <row r="22" ht="13.5">
      <c r="A22" t="s">
        <v>666</v>
      </c>
    </row>
    <row r="23" spans="1:3" ht="13.5">
      <c r="A23" t="s">
        <v>654</v>
      </c>
      <c r="B23">
        <f>'床版'!$I$7</f>
        <v>5.5</v>
      </c>
      <c r="C23" t="s">
        <v>199</v>
      </c>
    </row>
    <row r="24" spans="1:3" ht="13.5">
      <c r="A24" t="s">
        <v>655</v>
      </c>
      <c r="B24" s="60">
        <f>ROUND(B28/B29*'床版'!$I$7/(1+B28/B29),3)</f>
        <v>0.917</v>
      </c>
      <c r="C24" t="s">
        <v>199</v>
      </c>
    </row>
    <row r="25" spans="1:3" ht="13.5">
      <c r="A25" t="s">
        <v>656</v>
      </c>
      <c r="B25">
        <f>'床版'!$C$6-'床版'!$I$7-'床版'!$I$7/2</f>
        <v>24.75</v>
      </c>
      <c r="C25" t="s">
        <v>199</v>
      </c>
    </row>
    <row r="26" spans="1:3" ht="13.5">
      <c r="A26" t="s">
        <v>657</v>
      </c>
      <c r="B26" s="60">
        <f>ROUND('床版'!$I$7/2-B24,3)</f>
        <v>1.833</v>
      </c>
      <c r="C26" t="s">
        <v>199</v>
      </c>
    </row>
    <row r="27" ht="13.5">
      <c r="A27" t="s">
        <v>667</v>
      </c>
    </row>
    <row r="28" spans="1:2" ht="13.5">
      <c r="A28" t="s">
        <v>659</v>
      </c>
      <c r="B28" s="60">
        <f>ROUND(B3*B23/'床版'!$C$6,3)</f>
        <v>0.26</v>
      </c>
    </row>
    <row r="29" spans="1:2" ht="13.5">
      <c r="A29" t="s">
        <v>660</v>
      </c>
      <c r="B29">
        <f>ROUND(B3*('床版'!$C$6-'床版'!$I$7)/'床版'!$C$6,3)</f>
        <v>1.299</v>
      </c>
    </row>
    <row r="30" ht="13.5">
      <c r="A30" t="s">
        <v>661</v>
      </c>
    </row>
    <row r="31" spans="1:3" ht="13.5">
      <c r="A31" t="s">
        <v>659</v>
      </c>
      <c r="B31">
        <f>ROUND((B23+B24)*B28/2,3)</f>
        <v>0.834</v>
      </c>
      <c r="C31" t="s">
        <v>670</v>
      </c>
    </row>
    <row r="32" spans="1:3" ht="13.5">
      <c r="A32" t="s">
        <v>660</v>
      </c>
      <c r="B32">
        <f>ROUND((B25+B26)*B29/2,3)</f>
        <v>17.266</v>
      </c>
      <c r="C32" t="s">
        <v>670</v>
      </c>
    </row>
    <row r="33" spans="1:3" ht="13.5">
      <c r="A33" t="s">
        <v>664</v>
      </c>
      <c r="B33">
        <f>-(B32-B31)</f>
        <v>-16.432</v>
      </c>
      <c r="C33" t="s">
        <v>670</v>
      </c>
    </row>
    <row r="35" ht="13.5">
      <c r="A35" t="s">
        <v>673</v>
      </c>
    </row>
    <row r="36" spans="1:3" ht="13.5">
      <c r="A36" t="s">
        <v>662</v>
      </c>
      <c r="B36">
        <f>B8</f>
        <v>-23.579</v>
      </c>
      <c r="C36" t="s">
        <v>670</v>
      </c>
    </row>
    <row r="37" spans="1:3" ht="13.5">
      <c r="A37" t="s">
        <v>663</v>
      </c>
      <c r="B37" s="60">
        <f>B20</f>
        <v>19.29</v>
      </c>
      <c r="C37" t="s">
        <v>670</v>
      </c>
    </row>
    <row r="38" spans="1:3" ht="13.5">
      <c r="A38" t="s">
        <v>664</v>
      </c>
      <c r="B38">
        <f>B33</f>
        <v>-16.432</v>
      </c>
      <c r="C38" t="s">
        <v>670</v>
      </c>
    </row>
  </sheetData>
  <sheetProtection password="AF41" sheet="1" objects="1" scenarios="1"/>
  <printOptions/>
  <pageMargins left="0.75" right="0.75" top="1" bottom="1" header="0.512" footer="0.512"/>
  <pageSetup orientation="portrait" paperSize="9" r:id="rId1"/>
</worksheet>
</file>

<file path=xl/worksheets/sheet9.xml><?xml version="1.0" encoding="utf-8"?>
<worksheet xmlns="http://schemas.openxmlformats.org/spreadsheetml/2006/main" xmlns:r="http://schemas.openxmlformats.org/officeDocument/2006/relationships">
  <sheetPr codeName="Sheet9"/>
  <dimension ref="A1:M24"/>
  <sheetViews>
    <sheetView zoomScale="80" zoomScaleNormal="80" zoomScalePageLayoutView="0" workbookViewId="0" topLeftCell="A1">
      <selection activeCell="J43" sqref="J43"/>
    </sheetView>
  </sheetViews>
  <sheetFormatPr defaultColWidth="9.00390625" defaultRowHeight="13.5"/>
  <cols>
    <col min="1" max="1" width="15.25390625" style="2" customWidth="1"/>
    <col min="2" max="2" width="6.375" style="2" customWidth="1"/>
    <col min="3" max="3" width="6.625" style="2" customWidth="1"/>
    <col min="4" max="4" width="12.25390625" style="2" customWidth="1"/>
    <col min="5" max="5" width="4.375" style="2" customWidth="1"/>
    <col min="6" max="6" width="9.00390625" style="2" customWidth="1"/>
    <col min="7" max="7" width="4.50390625" style="2" customWidth="1"/>
    <col min="8" max="8" width="14.50390625" style="2" customWidth="1"/>
    <col min="9" max="9" width="9.00390625" style="2" customWidth="1"/>
    <col min="10" max="10" width="7.00390625" style="2" customWidth="1"/>
    <col min="11" max="11" width="11.875" style="2" customWidth="1"/>
    <col min="12" max="16384" width="9.00390625" style="2" customWidth="1"/>
  </cols>
  <sheetData>
    <row r="1" ht="12">
      <c r="A1" s="2" t="s">
        <v>901</v>
      </c>
    </row>
    <row r="2" spans="1:8" ht="12">
      <c r="A2" s="2" t="s">
        <v>692</v>
      </c>
      <c r="H2" s="2" t="s">
        <v>692</v>
      </c>
    </row>
    <row r="3" spans="1:10" ht="12">
      <c r="A3" s="2" t="s">
        <v>812</v>
      </c>
      <c r="B3" s="2">
        <f>'床版'!I7/2</f>
        <v>2.75</v>
      </c>
      <c r="C3" s="2" t="s">
        <v>1265</v>
      </c>
      <c r="H3" s="2" t="s">
        <v>812</v>
      </c>
      <c r="I3" s="2">
        <f>'床版'!I7</f>
        <v>5.5</v>
      </c>
      <c r="J3" s="2" t="s">
        <v>1265</v>
      </c>
    </row>
    <row r="4" spans="1:10" ht="12">
      <c r="A4" s="2" t="s">
        <v>811</v>
      </c>
      <c r="B4" s="2">
        <f>'床版'!C12</f>
        <v>2.3</v>
      </c>
      <c r="C4" s="2" t="s">
        <v>1259</v>
      </c>
      <c r="H4" s="2" t="s">
        <v>811</v>
      </c>
      <c r="I4" s="2">
        <f>'床版'!C12</f>
        <v>2.3</v>
      </c>
      <c r="J4" s="2" t="s">
        <v>1259</v>
      </c>
    </row>
    <row r="5" spans="1:10" ht="12">
      <c r="A5" s="2" t="s">
        <v>859</v>
      </c>
      <c r="B5" s="2">
        <f>ROUND(SQRT(B3^2+B4^2),0)</f>
        <v>4</v>
      </c>
      <c r="C5" s="2" t="s">
        <v>1259</v>
      </c>
      <c r="H5" s="2" t="s">
        <v>859</v>
      </c>
      <c r="I5" s="2">
        <f>ROUND(SQRT(I3^2+I4^2),0)</f>
        <v>6</v>
      </c>
      <c r="J5" s="2" t="s">
        <v>1259</v>
      </c>
    </row>
    <row r="6" spans="1:10" ht="12">
      <c r="A6" s="2" t="s">
        <v>1318</v>
      </c>
      <c r="B6" s="2">
        <f>ROUND(SQRT(B3^2+B4^2),0)/2</f>
        <v>2</v>
      </c>
      <c r="C6" s="2" t="s">
        <v>1259</v>
      </c>
      <c r="D6" s="2">
        <f>B6*100</f>
        <v>200</v>
      </c>
      <c r="H6" s="2" t="s">
        <v>1318</v>
      </c>
      <c r="I6" s="2">
        <f>ROUND(SQRT(I3^2+I4^2),0)/2</f>
        <v>3</v>
      </c>
      <c r="J6" s="2" t="s">
        <v>1259</v>
      </c>
    </row>
    <row r="7" spans="1:13" ht="12">
      <c r="A7" s="2" t="s">
        <v>697</v>
      </c>
      <c r="B7" s="64">
        <v>130</v>
      </c>
      <c r="C7" s="68" t="s">
        <v>1276</v>
      </c>
      <c r="D7" s="64">
        <v>130</v>
      </c>
      <c r="E7" s="68" t="s">
        <v>1276</v>
      </c>
      <c r="F7" s="64">
        <v>36</v>
      </c>
      <c r="G7" s="66"/>
      <c r="H7" s="66" t="s">
        <v>697</v>
      </c>
      <c r="I7" s="64">
        <v>130</v>
      </c>
      <c r="J7" s="68" t="s">
        <v>1276</v>
      </c>
      <c r="K7" s="64">
        <v>130</v>
      </c>
      <c r="L7" s="68" t="s">
        <v>1276</v>
      </c>
      <c r="M7" s="64">
        <v>36</v>
      </c>
    </row>
    <row r="8" spans="1:10" ht="12">
      <c r="A8" s="2" t="s">
        <v>694</v>
      </c>
      <c r="B8" s="64">
        <v>36.75</v>
      </c>
      <c r="C8" s="2" t="s">
        <v>1273</v>
      </c>
      <c r="H8" s="2" t="s">
        <v>694</v>
      </c>
      <c r="I8" s="64">
        <v>22.74</v>
      </c>
      <c r="J8" s="2" t="s">
        <v>1273</v>
      </c>
    </row>
    <row r="9" spans="1:10" ht="12">
      <c r="A9" s="2" t="s">
        <v>695</v>
      </c>
      <c r="B9" s="64">
        <v>3.93</v>
      </c>
      <c r="C9" s="2" t="s">
        <v>1261</v>
      </c>
      <c r="H9" s="2" t="s">
        <v>695</v>
      </c>
      <c r="I9" s="64">
        <v>4.01</v>
      </c>
      <c r="J9" s="2" t="s">
        <v>1261</v>
      </c>
    </row>
    <row r="10" spans="1:10" ht="12">
      <c r="A10" s="2" t="s">
        <v>696</v>
      </c>
      <c r="B10" s="64">
        <v>2.53</v>
      </c>
      <c r="C10" s="2" t="s">
        <v>1261</v>
      </c>
      <c r="H10" s="2" t="s">
        <v>696</v>
      </c>
      <c r="I10" s="64">
        <v>2.57</v>
      </c>
      <c r="J10" s="2" t="s">
        <v>1261</v>
      </c>
    </row>
    <row r="11" spans="1:12" ht="12">
      <c r="A11" s="2" t="s">
        <v>693</v>
      </c>
      <c r="B11" s="2">
        <f>ROUND(B6*100/B10,0)</f>
        <v>79</v>
      </c>
      <c r="C11" s="5" t="str">
        <f>IF(B11&lt;E11,"&lt;","&gt;")</f>
        <v>&lt;</v>
      </c>
      <c r="D11" s="2" t="s">
        <v>698</v>
      </c>
      <c r="E11" s="8">
        <v>150</v>
      </c>
      <c r="H11" s="2" t="s">
        <v>693</v>
      </c>
      <c r="I11" s="2">
        <f>ROUND(I6*100/I10,0)</f>
        <v>117</v>
      </c>
      <c r="J11" s="5" t="str">
        <f>IF(I11&lt;L11,"&lt;","&gt;")</f>
        <v>&lt;</v>
      </c>
      <c r="K11" s="2" t="s">
        <v>698</v>
      </c>
      <c r="L11" s="8">
        <v>150</v>
      </c>
    </row>
    <row r="12" spans="1:11" ht="12">
      <c r="A12" s="2" t="s">
        <v>1225</v>
      </c>
      <c r="B12" s="10">
        <f>B11</f>
        <v>79</v>
      </c>
      <c r="C12" s="5" t="str">
        <f>IF(B12&gt;D12,"&gt;","&lt;")</f>
        <v>&lt;</v>
      </c>
      <c r="D12" s="8">
        <v>93</v>
      </c>
      <c r="E12" s="34" t="str">
        <f>IF(B12&lt;D12,"OK","NG")</f>
        <v>OK</v>
      </c>
      <c r="H12" s="2" t="s">
        <v>1225</v>
      </c>
      <c r="I12" s="10">
        <f>I11</f>
        <v>117</v>
      </c>
      <c r="J12" s="5" t="str">
        <f>IF(I12&gt;K12,"&gt;","&lt;")</f>
        <v>&gt;</v>
      </c>
      <c r="K12" s="8">
        <v>93</v>
      </c>
    </row>
    <row r="13" spans="1:10" ht="12">
      <c r="A13" s="33" t="s">
        <v>1228</v>
      </c>
      <c r="B13" s="33">
        <f>IF(B12&gt;D12,ROUND(12*10^6/(6700+(B12)^2),0),IF(B12&gt;20,ROUND(1400-8.4*(B12-20),0),1400))</f>
        <v>904</v>
      </c>
      <c r="C13" s="33" t="s">
        <v>1279</v>
      </c>
      <c r="D13" s="33"/>
      <c r="E13" s="33"/>
      <c r="H13" s="2" t="s">
        <v>1228</v>
      </c>
      <c r="I13" s="2">
        <f>IF(I12&gt;K12,ROUND(12*10^6/(6700+(I12)^2),0),IF(I12&gt;20,ROUND(1400-8.4*(I12-20),0),1400))</f>
        <v>589</v>
      </c>
      <c r="J13" s="2" t="s">
        <v>1279</v>
      </c>
    </row>
    <row r="14" ht="12">
      <c r="H14" s="2" t="s">
        <v>699</v>
      </c>
    </row>
    <row r="16" ht="12">
      <c r="A16" s="2" t="s">
        <v>902</v>
      </c>
    </row>
    <row r="17" spans="1:4" ht="12">
      <c r="A17" s="2" t="s">
        <v>1318</v>
      </c>
      <c r="B17" s="2">
        <f>B4</f>
        <v>2.3</v>
      </c>
      <c r="C17" s="2" t="s">
        <v>1259</v>
      </c>
      <c r="D17" s="2">
        <f>B17*100</f>
        <v>229.99999999999997</v>
      </c>
    </row>
    <row r="18" spans="1:6" ht="12">
      <c r="A18" s="2" t="s">
        <v>697</v>
      </c>
      <c r="B18" s="64">
        <v>130</v>
      </c>
      <c r="C18" s="68" t="s">
        <v>1276</v>
      </c>
      <c r="D18" s="64">
        <v>130</v>
      </c>
      <c r="E18" s="68" t="s">
        <v>1276</v>
      </c>
      <c r="F18" s="64">
        <v>36</v>
      </c>
    </row>
    <row r="19" spans="1:3" ht="12">
      <c r="A19" s="2" t="s">
        <v>694</v>
      </c>
      <c r="B19" s="64">
        <v>36.75</v>
      </c>
      <c r="C19" s="2" t="s">
        <v>1273</v>
      </c>
    </row>
    <row r="20" spans="1:3" ht="12">
      <c r="A20" s="2" t="s">
        <v>695</v>
      </c>
      <c r="B20" s="64">
        <v>3.93</v>
      </c>
      <c r="C20" s="2" t="s">
        <v>1261</v>
      </c>
    </row>
    <row r="21" spans="1:3" ht="12">
      <c r="A21" s="2" t="s">
        <v>696</v>
      </c>
      <c r="B21" s="64">
        <v>2.53</v>
      </c>
      <c r="C21" s="2" t="s">
        <v>1261</v>
      </c>
    </row>
    <row r="22" spans="1:5" ht="12">
      <c r="A22" s="2" t="s">
        <v>693</v>
      </c>
      <c r="B22" s="2">
        <f>ROUND(B17*100/B21,0)</f>
        <v>91</v>
      </c>
      <c r="C22" s="5" t="str">
        <f>IF(B22&lt;E22,"&lt;","&gt;")</f>
        <v>&lt;</v>
      </c>
      <c r="D22" s="2" t="s">
        <v>698</v>
      </c>
      <c r="E22" s="8">
        <v>150</v>
      </c>
    </row>
    <row r="23" spans="1:5" ht="12">
      <c r="A23" s="2" t="s">
        <v>1225</v>
      </c>
      <c r="B23" s="10">
        <f>B22</f>
        <v>91</v>
      </c>
      <c r="C23" s="5" t="str">
        <f>IF(B23&gt;D23,"&gt;","&lt;")</f>
        <v>&lt;</v>
      </c>
      <c r="D23" s="8">
        <v>93</v>
      </c>
      <c r="E23" s="34" t="str">
        <f>IF(B23&lt;D23,"OK","NG")</f>
        <v>OK</v>
      </c>
    </row>
    <row r="24" spans="1:5" ht="12">
      <c r="A24" s="33" t="s">
        <v>1228</v>
      </c>
      <c r="B24" s="33">
        <f>IF(B23&gt;D23,ROUND(12*10^6/(6700+(B23)^2),0),IF(B23&gt;20,ROUND(1400-8.4*(B23-20),0),1400))</f>
        <v>804</v>
      </c>
      <c r="C24" s="33" t="s">
        <v>1279</v>
      </c>
      <c r="D24" s="33"/>
      <c r="E24" s="33"/>
    </row>
  </sheetData>
  <sheetProtection password="AF41" sheet="1" objects="1" scenarios="1"/>
  <dataValidations count="1">
    <dataValidation errorStyle="warning" type="list" operator="equal" allowBlank="1" showInputMessage="1" showErrorMessage="1" promptTitle="リストから選択できます" prompt="リストから選択されることをお勧めします" errorTitle="リストから選択されませんでした" error="リストからの再入力をお勧めします" imeMode="halfAlpha" sqref="F18 F7 M7">
      <formula1>"9,10,11,12,13,14,15,16,18,19,20,22,25,28,32,36,38,40,45,50"</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鈴木鋼板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鈴木雅丈</dc:creator>
  <cp:keywords/>
  <dc:description/>
  <cp:lastModifiedBy>MASARU MINAGAWA</cp:lastModifiedBy>
  <cp:lastPrinted>2000-01-19T04:41:56Z</cp:lastPrinted>
  <dcterms:created xsi:type="dcterms:W3CDTF">1998-09-28T03:48:58Z</dcterms:created>
  <dcterms:modified xsi:type="dcterms:W3CDTF">2012-07-20T05:37:52Z</dcterms:modified>
  <cp:category/>
  <cp:version/>
  <cp:contentType/>
  <cp:contentStatus/>
</cp:coreProperties>
</file>